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q+r6ag0gkZqAjNZheofmenbyXw1ofzSXr5+zJ/ydBLnYrSpZcDrOdV+MiqeWZy48AXU/E/LIX148TEjNbS4Aw==" workbookSaltValue="IV195cI9OifDiEVYmxBU+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V16" i="11" s="1"/>
  <c r="AA31" i="8"/>
  <c r="EP31" i="8"/>
  <c r="ER31" i="13"/>
  <c r="EP31" i="19"/>
  <c r="BH16" i="16"/>
  <c r="BG20" i="11"/>
  <c r="S14" i="16"/>
  <c r="P14" i="16"/>
  <c r="F13" i="16"/>
  <c r="N30" i="16"/>
  <c r="H14" i="21"/>
  <c r="K26" i="2"/>
  <c r="K23" i="2"/>
  <c r="N26" i="2"/>
  <c r="M14" i="2"/>
  <c r="M23" i="2"/>
  <c r="N14" i="2"/>
  <c r="G26" i="2"/>
  <c r="N23" i="2"/>
  <c r="K30" i="2"/>
  <c r="F30" i="17"/>
  <c r="BM12" i="11"/>
  <c r="BJ16" i="11"/>
  <c r="V20" i="11"/>
  <c r="AP26" i="21"/>
  <c r="BG21" i="11"/>
  <c r="BV28" i="16"/>
  <c r="BW13" i="20"/>
  <c r="BU29" i="17"/>
  <c r="BU20" i="17"/>
  <c r="BW22" i="20"/>
  <c r="BU17" i="17"/>
  <c r="T14" i="16"/>
  <c r="AA20" i="16"/>
  <c r="BF20" i="11"/>
  <c r="BL20" i="11"/>
  <c r="BH21" i="11"/>
  <c r="BK17" i="11"/>
  <c r="BH17" i="11"/>
  <c r="BH25" i="11"/>
  <c r="T14" i="20"/>
  <c r="BF25" i="8"/>
  <c r="BD9" i="8"/>
  <c r="BF9" i="8"/>
  <c r="C30" i="7"/>
  <c r="L29" i="2"/>
  <c r="L18" i="2"/>
  <c r="AO14" i="21"/>
  <c r="L20" i="2"/>
  <c r="AP14" i="16"/>
  <c r="T23" i="17"/>
  <c r="T26" i="17" s="1"/>
  <c r="T30" i="17" s="1"/>
  <c r="BG16" i="13"/>
  <c r="BE17" i="13"/>
  <c r="BE16" i="13"/>
  <c r="X32" i="20"/>
  <c r="G30" i="14"/>
  <c r="G23" i="14"/>
  <c r="BF17" i="8" l="1"/>
  <c r="BD12" i="8"/>
  <c r="H12" i="7" s="1"/>
  <c r="F14" i="7"/>
  <c r="AA9" i="16"/>
  <c r="L21" i="2"/>
  <c r="L17" i="2"/>
  <c r="BI21" i="11"/>
  <c r="AQ12" i="21"/>
  <c r="BM18" i="11"/>
  <c r="AZ25" i="11"/>
  <c r="AZ30" i="11" s="1"/>
  <c r="BL16" i="11"/>
  <c r="S16" i="16"/>
  <c r="AZ17" i="11"/>
  <c r="BV29" i="16"/>
  <c r="BW29" i="20"/>
  <c r="BV11" i="16"/>
  <c r="BV21" i="16"/>
  <c r="BV13" i="16"/>
  <c r="BU25" i="17"/>
  <c r="AP18" i="20"/>
  <c r="BG19" i="11"/>
  <c r="AP16" i="20"/>
  <c r="V9" i="11"/>
  <c r="V11" i="11"/>
  <c r="BK29" i="11"/>
  <c r="BF28" i="11"/>
  <c r="BF13" i="11"/>
  <c r="Z14" i="17"/>
  <c r="V9" i="16"/>
  <c r="AA11" i="16"/>
  <c r="X19" i="16"/>
  <c r="L16" i="2"/>
  <c r="L22" i="2"/>
  <c r="BK10" i="11"/>
  <c r="BI22" i="11"/>
  <c r="BL22" i="11"/>
  <c r="BF16" i="11"/>
  <c r="Q16" i="17"/>
  <c r="BJ10" i="11"/>
  <c r="BK20" i="11"/>
  <c r="BH25" i="16"/>
  <c r="BF12" i="11"/>
  <c r="P16" i="17"/>
  <c r="T17" i="11"/>
  <c r="X16" i="17"/>
  <c r="R28" i="14"/>
  <c r="AZ22" i="11"/>
  <c r="BV20" i="16"/>
  <c r="S11" i="17"/>
  <c r="BU18" i="17"/>
  <c r="BV10" i="16"/>
  <c r="U10" i="17"/>
  <c r="BW16" i="20"/>
  <c r="BV25" i="16"/>
  <c r="BW17" i="20"/>
  <c r="BV17" i="16"/>
  <c r="BU21" i="17"/>
  <c r="BW9" i="20"/>
  <c r="BU11" i="17"/>
  <c r="BU28" i="17"/>
  <c r="BJ28" i="11"/>
  <c r="BM20" i="11"/>
  <c r="AZ9" i="11"/>
  <c r="AZ14" i="11" s="1"/>
  <c r="BL25" i="11"/>
  <c r="AZ13" i="11"/>
  <c r="AP22" i="20"/>
  <c r="BI19" i="11"/>
  <c r="V13" i="11"/>
  <c r="BI25" i="11"/>
  <c r="BK21" i="11"/>
  <c r="AZ19" i="11"/>
  <c r="BG22" i="11"/>
  <c r="BF18" i="11"/>
  <c r="Q18" i="20"/>
  <c r="Q23" i="20" s="1"/>
  <c r="BG25"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AP17" i="20"/>
  <c r="BH9" i="16"/>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C32" i="20"/>
  <c r="Z32" i="20"/>
  <c r="T32" i="20"/>
  <c r="AM32" i="20"/>
  <c r="Q32" i="20"/>
  <c r="W32" i="21"/>
  <c r="E32" i="20"/>
  <c r="AV32" i="20"/>
  <c r="O32" i="20"/>
  <c r="AQ32" i="21"/>
  <c r="Y32" i="20"/>
  <c r="L32" i="20"/>
  <c r="AJ32" i="20"/>
  <c r="AH32" i="20"/>
  <c r="I32" i="20"/>
  <c r="O18" i="11"/>
  <c r="AB32" i="20"/>
  <c r="AI32" i="20"/>
  <c r="S32" i="20"/>
  <c r="R32" i="20"/>
  <c r="N32" i="20"/>
  <c r="AA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H32" i="17"/>
  <c r="AW32" i="11"/>
  <c r="AV32" i="21"/>
  <c r="O12" i="1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V32" i="11"/>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<sst xmlns="http://schemas.openxmlformats.org/spreadsheetml/2006/main" count="2682" uniqueCount="1193">
  <si>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</si>
  <si>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</si>
  <si>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</si>
  <si>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</si>
  <si>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</si>
  <si>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</si>
  <si>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</si>
  <si>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</si>
  <si>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</si>
  <si>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</si>
  <si>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</si>
  <si>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</si>
  <si>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</si>
  <si>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</si>
  <si>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</si>
  <si>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</si>
  <si>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</si>
  <si>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</si>
  <si>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</si>
  <si>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</si>
  <si>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</si>
  <si>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</si>
  <si>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</si>
  <si>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</si>
  <si>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</si>
  <si>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</si>
  <si>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</si>
  <si>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</si>
  <si>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</si>
  <si>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</si>
  <si>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</si>
  <si>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</si>
  <si>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</si>
  <si>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</si>
  <si>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</si>
  <si>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</si>
  <si>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</si>
  <si>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</si>
  <si>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</si>
  <si>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</si>
  <si>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</si>
  <si>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</si>
  <si>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</si>
  <si>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</si>
  <si>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</si>
  <si>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</si>
  <si>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</si>
  <si>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</si>
  <si>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</si>
  <si>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</si>
  <si>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</si>
  <si>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</si>
  <si>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</si>
  <si>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</si>
  <si>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</si>
  <si>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</si>
  <si>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</si>
  <si>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</si>
  <si>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</si>
  <si>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</si>
  <si>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</si>
  <si>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</si>
  <si>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</si>
  <si>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</si>
  <si>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</si>
  <si>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</si>
  <si>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</si>
  <si>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</si>
  <si>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</si>
  <si>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</si>
  <si>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</si>
  <si>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</si>
  <si>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</si>
  <si>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</si>
  <si>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</si>
  <si>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</si>
  <si>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</si>
  <si>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</si>
  <si>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</si>
  <si>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</si>
  <si>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</si>
  <si>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</si>
  <si>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</si>
  <si>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</si>
  <si>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</si>
  <si>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</si>
  <si>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</si>
  <si>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</si>
  <si>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</si>
  <si>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</si>
  <si>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</si>
  <si>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</si>
  <si>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</si>
  <si>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</si>
  <si>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</si>
  <si>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</si>
  <si>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</si>
  <si>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</si>
  <si>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</si>
  <si>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</si>
  <si>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</si>
  <si>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</si>
  <si>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</si>
  <si>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</si>
  <si>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</si>
  <si>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</si>
  <si>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</si>
  <si>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</si>
  <si>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</si>
  <si>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</si>
  <si>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</si>
  <si>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</si>
  <si>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</si>
  <si>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</si>
  <si>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</si>
  <si>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</si>
  <si>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</si>
  <si>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</si>
  <si>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</si>
  <si>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</si>
  <si>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</si>
  <si>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</si>
  <si>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</si>
  <si>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</si>
  <si>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</si>
  <si>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</si>
  <si>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</si>
  <si>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</si>
  <si>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</si>
  <si>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</si>
  <si>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</si>
  <si>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</si>
  <si>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</si>
  <si>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</si>
  <si>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</si>
  <si>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</si>
  <si>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</si>
  <si>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</si>
  <si>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</si>
  <si>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</si>
  <si>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</si>
  <si>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</si>
  <si>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</si>
  <si>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</si>
  <si>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</si>
  <si>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</si>
  <si>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</si>
  <si>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</si>
  <si>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</si>
  <si>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</si>
  <si>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</si>
  <si>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</si>
  <si>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</si>
  <si>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</si>
  <si>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</si>
  <si>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</si>
  <si>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</si>
  <si>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</si>
  <si>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</si>
  <si>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</si>
  <si>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</si>
  <si>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</si>
  <si>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</si>
  <si>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</si>
  <si>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</si>
  <si>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</si>
  <si>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</si>
  <si>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</si>
  <si>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</si>
  <si>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</si>
  <si>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</si>
  <si>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</si>
  <si>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</si>
  <si>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</si>
  <si>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</si>
  <si>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</si>
  <si>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</si>
  <si>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</si>
  <si>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</si>
  <si>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</si>
  <si>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</si>
  <si>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</si>
  <si>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</si>
  <si>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</si>
  <si>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</si>
  <si>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</si>
  <si>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</si>
  <si>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</si>
  <si>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</si>
  <si>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</si>
  <si>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</si>
  <si>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</si>
  <si>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</si>
  <si>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</si>
  <si>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</si>
  <si>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</si>
  <si>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</si>
  <si>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</si>
  <si>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</si>
  <si>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</si>
  <si>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</si>
  <si>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</si>
  <si>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</si>
  <si>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</si>
  <si>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</si>
  <si>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</si>
  <si>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</si>
  <si>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</si>
  <si>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</si>
  <si>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</si>
  <si>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</si>
  <si>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</si>
  <si>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</si>
  <si>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</si>
  <si>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</si>
  <si>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</si>
  <si>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</si>
  <si>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</si>
  <si>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</si>
  <si>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</si>
  <si>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</si>
  <si>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</si>
  <si>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</si>
  <si>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</si>
  <si>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</si>
  <si>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</si>
  <si>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</si>
  <si>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</si>
  <si>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</si>
  <si>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</si>
  <si>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</si>
  <si>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</si>
  <si>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</si>
  <si>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</si>
  <si>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</si>
  <si>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</si>
  <si>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</si>
  <si>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</si>
  <si>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</si>
  <si>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</si>
  <si>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</si>
  <si>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</si>
  <si>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</si>
  <si>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</si>
  <si>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</si>
  <si>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</si>
  <si>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</si>
  <si>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</si>
  <si>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</si>
  <si>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</si>
  <si>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</si>
  <si>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</si>
  <si>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</si>
  <si>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</si>
  <si>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</si>
  <si>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</si>
  <si>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</si>
  <si>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</si>
  <si>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</si>
  <si>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</si>
  <si>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</si>
  <si>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</si>
  <si>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</si>
  <si>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</si>
  <si>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</si>
  <si>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</si>
  <si>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</si>
  <si>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</si>
  <si>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</si>
  <si>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</si>
  <si>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</si>
  <si>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</si>
  <si>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</si>
  <si>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</si>
  <si>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</si>
  <si>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</si>
  <si>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</si>
  <si>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</si>
  <si>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</si>
  <si>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</si>
  <si>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</si>
  <si>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</si>
  <si>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</si>
  <si>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</si>
  <si>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</si>
  <si>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</si>
  <si>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</si>
  <si>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</si>
  <si>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</si>
  <si>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</si>
  <si>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</si>
  <si>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</si>
  <si>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</si>
  <si>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</si>
  <si>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</si>
  <si>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</si>
  <si>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</si>
  <si>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</si>
  <si>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</si>
  <si>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</si>
  <si>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</si>
  <si>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</si>
  <si>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</si>
  <si>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</si>
  <si>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</si>
  <si>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</si>
  <si>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</si>
  <si>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</si>
  <si>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</si>
  <si>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</si>
  <si>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</si>
  <si>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</si>
  <si>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</si>
  <si>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</si>
  <si>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</si>
  <si>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</si>
  <si>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</si>
  <si>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</si>
  <si>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</si>
  <si>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</si>
  <si>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</si>
  <si>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</si>
  <si>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</si>
  <si>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</si>
  <si>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</si>
  <si>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</si>
  <si>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</si>
  <si>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</si>
  <si>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</si>
  <si>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</si>
  <si>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</si>
  <si>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</si>
  <si>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</si>
  <si>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</si>
  <si>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</si>
  <si>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</si>
  <si>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</si>
  <si>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</si>
  <si>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</si>
  <si>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</si>
  <si>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</si>
  <si>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</si>
  <si>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</si>
  <si>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</si>
  <si>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</si>
  <si>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</si>
  <si>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</si>
  <si>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</si>
  <si>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</si>
  <si>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</si>
  <si>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</si>
  <si>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</si>
  <si>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</si>
  <si>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</si>
  <si>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</si>
  <si>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</si>
  <si>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</si>
  <si>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</si>
  <si>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</si>
  <si>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</si>
  <si>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</si>
  <si>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</si>
  <si>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</si>
  <si>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</si>
  <si>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</si>
  <si>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</si>
  <si>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</si>
  <si>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</si>
  <si>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</si>
  <si>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</si>
  <si>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</si>
  <si>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</si>
  <si>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</si>
  <si>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</si>
  <si>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</si>
  <si>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</si>
  <si>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</si>
  <si>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</si>
  <si>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</si>
  <si>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</si>
  <si>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</si>
  <si>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</si>
  <si>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</si>
  <si>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</si>
  <si>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</si>
  <si>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</si>
  <si>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</si>
  <si>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</si>
  <si>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</si>
  <si>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</si>
  <si>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</si>
  <si>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</si>
  <si>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</si>
  <si>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</si>
  <si>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</si>
  <si>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</si>
  <si>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</si>
  <si>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</si>
  <si>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</si>
  <si>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</si>
  <si>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</si>
  <si>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</si>
  <si>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</si>
  <si>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</si>
  <si>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</si>
  <si>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</si>
  <si>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</si>
  <si>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</si>
  <si>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</si>
  <si>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</si>
  <si>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</si>
  <si>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</si>
  <si>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</si>
  <si>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</si>
  <si>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</si>
  <si>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</si>
  <si>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</si>
  <si>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</si>
  <si>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</si>
  <si>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</si>
  <si>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</si>
  <si>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</si>
  <si>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</si>
  <si>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</si>
  <si>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</si>
  <si>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</si>
  <si>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</si>
  <si>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</si>
  <si>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</si>
  <si>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</si>
  <si>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</si>
  <si>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</si>
  <si>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</si>
  <si>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</si>
  <si>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</si>
  <si>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</si>
  <si>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</si>
  <si>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</si>
  <si>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</si>
  <si>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</si>
  <si>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</si>
  <si>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</si>
  <si>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</si>
  <si>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</si>
  <si>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</si>
  <si>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</si>
  <si>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</si>
  <si>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</si>
  <si>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</si>
  <si>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</si>
  <si>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</si>
  <si>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</si>
  <si>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</si>
  <si>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</si>
  <si>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</si>
  <si>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</si>
  <si>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</si>
  <si>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</si>
  <si>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</si>
  <si>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</si>
  <si>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</si>
  <si>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</si>
  <si>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</si>
  <si>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</si>
  <si>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</si>
  <si>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</si>
  <si>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</si>
  <si>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</si>
  <si>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</si>
  <si>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</si>
  <si>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</si>
  <si>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</si>
  <si>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</si>
  <si>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</si>
  <si>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</si>
  <si>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</si>
  <si>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</si>
  <si>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</si>
  <si>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</si>
  <si>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</si>
  <si>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</si>
  <si>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</si>
  <si>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</si>
  <si>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</si>
  <si>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</si>
  <si>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</si>
  <si>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</si>
  <si>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</si>
  <si>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</si>
  <si>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</si>
  <si>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</si>
  <si>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</si>
  <si>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</si>
  <si>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</si>
  <si>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</si>
  <si>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</si>
  <si>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</si>
  <si>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</si>
  <si>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</si>
  <si>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</si>
  <si>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</si>
  <si>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</si>
  <si>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</si>
  <si>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</si>
  <si>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</si>
  <si>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</si>
  <si>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</si>
  <si>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</si>
  <si>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</si>
  <si>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</si>
  <si>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</si>
  <si>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</si>
  <si>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</si>
  <si>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</si>
  <si>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</si>
  <si>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</si>
  <si>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</si>
  <si>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</si>
  <si>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</si>
  <si>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</si>
  <si>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</si>
  <si>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</si>
  <si>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</si>
  <si>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</si>
  <si>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</si>
  <si>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</si>
  <si>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</si>
  <si>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</si>
  <si>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</si>
  <si>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</si>
  <si>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</si>
  <si>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</si>
  <si>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</si>
  <si>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</si>
  <si>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</si>
  <si>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</si>
  <si>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</si>
  <si>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</si>
  <si>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</si>
  <si>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</si>
  <si>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</si>
  <si>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</si>
  <si>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</si>
  <si>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</si>
  <si>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</si>
  <si>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</si>
  <si>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</si>
  <si>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</si>
  <si>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</si>
  <si>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</si>
  <si>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</si>
  <si>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</si>
  <si>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</si>
  <si>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</si>
  <si>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</si>
  <si>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</si>
  <si>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</si>
  <si>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</si>
  <si>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</si>
  <si>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</si>
  <si>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</si>
  <si>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</si>
  <si>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</si>
  <si>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</si>
  <si>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</si>
  <si>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</si>
  <si>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</si>
  <si>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</si>
  <si>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</si>
  <si>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</si>
  <si>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</si>
  <si>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</si>
  <si>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</si>
  <si>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</si>
  <si>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</si>
  <si>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</si>
  <si>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</si>
  <si>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</si>
  <si>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</si>
  <si>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</si>
  <si>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</si>
  <si>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</si>
  <si>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</si>
  <si>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</si>
  <si>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</si>
  <si>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</si>
  <si>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</si>
  <si>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</si>
  <si>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</si>
  <si>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</si>
  <si>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</si>
  <si>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</si>
  <si>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</si>
  <si>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</si>
  <si>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</si>
  <si>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</si>
  <si>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</si>
  <si>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</si>
  <si>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</si>
  <si>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</si>
  <si>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</si>
  <si>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</si>
  <si>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</si>
  <si>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</si>
  <si>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</si>
  <si>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</si>
  <si>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</si>
  <si>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</si>
  <si>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</si>
  <si>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</si>
  <si>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</si>
  <si>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</si>
  <si>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</si>
  <si>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</si>
  <si>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</si>
  <si>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</si>
  <si>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</si>
  <si>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</si>
  <si>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</si>
  <si>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</si>
  <si>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</si>
  <si>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</si>
  <si>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</si>
  <si>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</si>
  <si>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</si>
  <si>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</si>
  <si>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</si>
  <si>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</si>
  <si>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</si>
  <si>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</si>
  <si>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</si>
  <si>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</si>
  <si>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</si>
  <si>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</si>
  <si>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</si>
  <si>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</si>
  <si>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</si>
  <si>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</si>
  <si>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</si>
  <si>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</si>
  <si>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</si>
  <si>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</si>
  <si>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</si>
  <si>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</si>
  <si>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</si>
  <si>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</si>
  <si>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</si>
  <si>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</si>
  <si>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</si>
  <si>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</si>
  <si>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</si>
  <si>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</si>
  <si>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</si>
  <si>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</si>
  <si>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</si>
  <si>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</si>
  <si>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</si>
  <si>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</si>
  <si>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</si>
  <si>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</si>
  <si>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</si>
  <si>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</si>
  <si>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</si>
  <si>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</si>
  <si>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</si>
  <si>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</si>
  <si>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</si>
  <si>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</si>
  <si>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</si>
  <si>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</si>
  <si>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</si>
  <si>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</si>
  <si>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</si>
  <si>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</si>
  <si>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</si>
  <si>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</si>
  <si>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</si>
  <si>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</si>
  <si>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</si>
  <si>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</si>
  <si>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</si>
  <si>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</si>
  <si>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</si>
  <si>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</si>
  <si>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</si>
  <si>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</si>
  <si>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</si>
  <si>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</si>
  <si>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</si>
  <si>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</si>
  <si>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</si>
  <si>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</si>
  <si>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</si>
  <si>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</si>
  <si>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</si>
  <si>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</si>
  <si>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</si>
  <si>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</si>
  <si>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</si>
  <si>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</si>
  <si>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</si>
  <si>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</si>
  <si>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</si>
  <si>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</si>
  <si>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</si>
  <si>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</si>
  <si>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</si>
  <si>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</si>
  <si>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</si>
  <si>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</si>
  <si>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</si>
  <si>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</si>
  <si>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</si>
  <si>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</si>
  <si>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</si>
  <si>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</si>
  <si>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</si>
  <si>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</si>
  <si>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</si>
  <si>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</si>
  <si>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</si>
  <si>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</si>
  <si>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</si>
  <si>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</si>
  <si>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</si>
  <si>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</si>
  <si>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</si>
  <si>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</si>
  <si>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</si>
  <si>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</si>
  <si>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</si>
  <si>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</si>
  <si>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</si>
  <si>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</si>
  <si>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</si>
  <si>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</si>
  <si>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</si>
  <si>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</si>
  <si>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</si>
  <si>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</si>
  <si>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</si>
  <si>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</si>
  <si>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</si>
  <si>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</si>
  <si>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</si>
  <si>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</si>
  <si>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</si>
  <si>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</si>
  <si>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</si>
  <si>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</si>
  <si>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</si>
  <si>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</si>
  <si>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</si>
  <si>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</si>
  <si>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</si>
  <si>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</si>
  <si>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</si>
  <si>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</si>
  <si>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</si>
  <si>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</si>
  <si>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</si>
  <si>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</si>
  <si>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</si>
  <si>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</si>
  <si>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</si>
  <si>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</si>
  <si>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</si>
  <si>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</si>
  <si>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</si>
  <si>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</si>
  <si>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</si>
  <si>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</si>
  <si>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</si>
  <si>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</si>
  <si>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</si>
  <si>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</si>
  <si>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</si>
  <si>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</si>
  <si>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</si>
  <si>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</si>
  <si>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</si>
  <si>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</si>
  <si>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</si>
  <si>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</si>
  <si>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</si>
  <si>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</si>
  <si>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</si>
  <si>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</si>
  <si>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</si>
  <si>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</si>
  <si>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</si>
  <si>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</si>
  <si>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</si>
  <si>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</si>
  <si>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</si>
  <si>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</si>
  <si>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</si>
  <si>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</si>
  <si>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</si>
  <si>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</si>
  <si>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</si>
  <si>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</si>
  <si>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</si>
  <si>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</si>
  <si>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</si>
  <si>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</si>
  <si>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</si>
  <si>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</si>
  <si>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</si>
  <si>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</si>
  <si>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</si>
  <si>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</si>
  <si>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</si>
  <si>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</si>
  <si>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</si>
  <si>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</si>
  <si>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</si>
  <si>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</si>
  <si>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</si>
  <si>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</si>
  <si>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</si>
  <si>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</si>
  <si>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</si>
  <si>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</si>
  <si>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</si>
  <si>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</si>
  <si>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</si>
  <si>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</si>
  <si>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</si>
  <si>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</si>
  <si>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</si>
  <si>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</si>
  <si>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</si>
  <si>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</si>
  <si>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</si>
  <si>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</si>
  <si>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</si>
  <si>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</si>
  <si>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</si>
  <si>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</si>
  <si>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</si>
  <si>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</si>
  <si>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</si>
  <si>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</si>
  <si>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</si>
  <si>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</si>
  <si>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</si>
  <si>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</si>
  <si>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</si>
  <si>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</si>
  <si>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</si>
  <si>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</si>
  <si>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</si>
  <si>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</si>
  <si>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</si>
  <si>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</si>
  <si>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</si>
  <si>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</si>
  <si>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</si>
  <si>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</si>
  <si>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</si>
  <si>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</si>
  <si>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</si>
  <si>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</si>
  <si>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</si>
  <si>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</si>
  <si>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</si>
  <si>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</si>
  <si>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</si>
  <si>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</si>
  <si>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</si>
  <si>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</si>
  <si>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</si>
  <si>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</si>
  <si>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</si>
  <si>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</si>
  <si>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</si>
  <si>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</si>
  <si>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</si>
  <si>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</si>
  <si>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</si>
  <si>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</si>
  <si>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</si>
  <si>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</si>
  <si>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</si>
  <si>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</si>
  <si>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</si>
  <si>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</si>
  <si>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</si>
  <si>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</si>
  <si>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</si>
  <si>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</si>
  <si>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</si>
  <si>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</si>
  <si>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</si>
  <si>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</si>
  <si>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</si>
  <si>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</si>
  <si>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</si>
  <si>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</si>
  <si>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</si>
  <si>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</si>
  <si>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</si>
  <si>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</si>
  <si>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</si>
  <si>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</si>
  <si>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</si>
  <si>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</si>
  <si>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</si>
  <si>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</si>
  <si>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</si>
  <si>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</si>
  <si>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</si>
  <si>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</si>
  <si>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</si>
  <si>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</si>
  <si>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</si>
  <si>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</si>
  <si>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</si>
  <si>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</si>
  <si>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</si>
  <si>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</si>
  <si>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</si>
  <si>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</si>
  <si>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</si>
  <si>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</si>
  <si>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</si>
  <si>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</si>
  <si>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</si>
  <si>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</si>
  <si>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</si>
  <si>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</si>
  <si>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</si>
  <si>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</si>
  <si>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</si>
  <si>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</si>
  <si>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</si>
  <si>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</si>
  <si>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</si>
  <si>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</si>
  <si>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</si>
  <si>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</si>
  <si>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</si>
  <si>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</si>
  <si>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</si>
  <si>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</si>
  <si>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</si>
  <si>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</si>
  <si>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</si>
  <si>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</si>
  <si>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</si>
  <si>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</si>
  <si>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</si>
  <si>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</si>
  <si>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</si>
  <si>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</si>
  <si>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</si>
  <si>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</si>
  <si>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</si>
  <si>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</si>
  <si>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</si>
  <si>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</si>
  <si>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</si>
  <si>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</si>
  <si>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</si>
  <si>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</si>
  <si>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</si>
  <si>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</si>
  <si>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</si>
  <si>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</si>
  <si>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</si>
  <si>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</si>
  <si>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</si>
  <si>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</si>
  <si>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</si>
  <si>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</si>
  <si>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</si>
  <si>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</si>
  <si>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</si>
  <si>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</si>
  <si>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</si>
  <si>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</si>
  <si>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</si>
  <si>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</si>
  <si>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</si>
  <si>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</si>
  <si>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</si>
  <si>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</si>
  <si>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</si>
  <si>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</si>
  <si>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</si>
  <si>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</si>
  <si>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</si>
  <si>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</si>
  <si>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</si>
  <si>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</si>
  <si>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</si>
  <si>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</si>
  <si>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</si>
  <si>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</si>
  <si>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</si>
  <si>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</si>
  <si>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</si>
  <si>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</si>
  <si>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</si>
  <si>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</si>
  <si>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</si>
  <si>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</si>
  <si>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</si>
  <si>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</si>
  <si>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</si>
  <si>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</si>
  <si>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</si>
  <si>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</si>
  <si>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</si>
  <si>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</si>
  <si>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</si>
  <si>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</si>
  <si>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</si>
  <si>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</si>
  <si>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</si>
  <si>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</si>
  <si>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</si>
  <si>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</si>
  <si>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</si>
  <si>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</si>
  <si>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</si>
  <si>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</si>
  <si>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</si>
  <si>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</si>
  <si>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</si>
  <si>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</si>
  <si>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</si>
  <si>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</si>
  <si>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</si>
  <si>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</si>
  <si>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</si>
  <si>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</si>
  <si>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</si>
  <si>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</si>
  <si>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</si>
  <si>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</si>
  <si>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</si>
  <si>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</si>
  <si>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</si>
  <si>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</si>
  <si>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</si>
  <si>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</si>
  <si>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</si>
  <si>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</si>
  <si>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</si>
  <si>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</si>
  <si>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</si>
  <si>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</si>
  <si>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</si>
  <si>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</si>
  <si>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</si>
  <si>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</si>
  <si>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</si>
  <si>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</si>
  <si>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</si>
  <si>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</si>
  <si>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</si>
  <si>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</si>
  <si>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</si>
  <si>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</si>
  <si>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</si>
  <si>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</si>
  <si>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</si>
  <si>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</si>
  <si>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</si>
  <si>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</si>
  <si>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</si>
  <si>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</si>
  <si>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</si>
  <si>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</si>
  <si>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</si>
  <si>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</si>
  <si>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</si>
  <si>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</si>
  <si>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</si>
  <si>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</si>
  <si>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</si>
  <si>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</si>
  <si>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</si>
  <si>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</si>
  <si>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</si>
  <si>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</si>
  <si>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</si>
  <si>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</si>
  <si>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</si>
  <si>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</si>
  <si>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</si>
  <si>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</si>
  <si>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</si>
  <si>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</si>
  <si>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</si>
  <si>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</si>
  <si>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</si>
  <si>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</si>
  <si>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</si>
  <si>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</si>
  <si>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</si>
  <si>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</si>
  <si>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</si>
  <si>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</si>
  <si>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</si>
  <si>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</si>
  <si>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</si>
  <si>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</si>
  <si>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</si>
  <si>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</si>
  <si>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</si>
  <si>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</si>
  <si>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</si>
  <si>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</si>
  <si>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</si>
  <si>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</si>
  <si>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</si>
  <si>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</si>
  <si>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</si>
  <si>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</si>
  <si>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</si>
  <si>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</si>
  <si>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</si>
  <si>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</si>
  <si>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</si>
  <si>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</si>
  <si>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</si>
  <si>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</si>
  <si>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</si>
  <si>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</si>
  <si>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</si>
  <si>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</si>
  <si>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</si>
  <si>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</si>
  <si>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</si>
  <si>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</si>
  <si>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</si>
  <si>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</si>
  <si>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</si>
  <si>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</si>
  <si>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</si>
  <si>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</si>
  <si>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</si>
  <si>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</si>
  <si>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</si>
  <si>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</si>
  <si>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</si>
  <si>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</si>
  <si>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</si>
  <si>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</si>
  <si>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</si>
  <si>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</si>
  <si>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</si>
  <si>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</si>
  <si>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</si>
  <si>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</si>
  <si>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</si>
  <si>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</si>
  <si>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</si>
  <si>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</si>
  <si>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</si>
  <si>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</si>
  <si>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</si>
  <si>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</si>
  <si>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</si>
  <si>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</si>
  <si>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</si>
  <si>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</si>
  <si>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</si>
  <si>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</si>
  <si>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</si>
  <si>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</si>
  <si>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</si>
  <si>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</si>
  <si>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</si>
  <si>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</si>
  <si>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</si>
  <si>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</si>
  <si>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</si>
  <si>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</si>
  <si>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</si>
  <si>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</si>
  <si>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</si>
  <si>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</si>
  <si>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</si>
  <si>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</si>
  <si>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</si>
  <si>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</si>
  <si>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PONTEVEDRA</t>
  </si>
  <si>
    <t>Resumenes por Partidos Judiciales</t>
  </si>
  <si>
    <t>CALDAS DE REIS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</si>
</sst>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rnJC+Dhqx2iZmM9mBLSys7/Zf/JZTfuHS4zqP4z/CtmNAJ9kZQL33mxDFw8a1B7TEZwKrTUjNxlz40CWN5mFA==" saltValue="HvKtzfItrA3EiNloXvsB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6</v>
      </c>
      <c r="E10" s="240">
        <f>IF(ISNUMBER(Datos!J10),Datos!J10," - ")</f>
        <v>11</v>
      </c>
      <c r="F10" s="240">
        <f>IF(ISNUMBER(Datos!K10),Datos!K10," - ")</f>
        <v>0</v>
      </c>
      <c r="G10" s="1390" t="str">
        <f>IF(Datos!E10&lt;&gt;"",Datos!E10,Datos!D10)</f>
        <v>37</v>
      </c>
      <c r="H10" s="241">
        <f>IF(ISNUMBER(Datos!L10),Datos!L10," - ")</f>
        <v>14</v>
      </c>
      <c r="I10" s="1400" t="str">
        <f>IF(ISNUMBER(Datos!AS10/Datos!BM10),Datos!AS10/Datos!BM10," - ")</f>
        <v xml:space="preserve"> - </v>
      </c>
      <c r="J10" s="1401">
        <f>IF(ISNUMBER(Datos!BY10/Datos!CN10),Datos!BY10/Datos!CN10," - ")</f>
        <v>0</v>
      </c>
      <c r="K10" s="244">
        <f t="shared" ref="K10:K13" si="1">IF(ISNUMBER((E10-F10)/C10),(E10-F10)/C10," - ")</f>
        <v>3.6666666666666665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6.7992895204262878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6</v>
      </c>
      <c r="E14" s="1408">
        <f>SUBTOTAL(9,E9:E13)</f>
        <v>11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169</v>
      </c>
      <c r="D17" s="239">
        <f>IF(ISNUMBER(IF(D_I="SI",Datos!I17,Datos!I17+Datos!AC17)),IF(D_I="SI",Datos!I17,Datos!I17+Datos!AC17)," - ")</f>
        <v>286</v>
      </c>
      <c r="E17" s="240">
        <f>IF(ISNUMBER(IF(D_I="SI",Datos!J17,Datos!J17+Datos!AD17)),IF(D_I="SI",Datos!J17,Datos!J17+Datos!AD17)," - ")</f>
        <v>1079</v>
      </c>
      <c r="F17" s="240">
        <f>IF(ISNUMBER(IF(D_I="SI",Datos!K17,Datos!K17+Datos!AE17)),IF(D_I="SI",Datos!K17,Datos!K17+Datos!AE17)," - ")</f>
        <v>937</v>
      </c>
      <c r="G17" s="1390" t="str">
        <f>IF(Datos!E17&lt;&gt;"",Datos!E17,Datos!D17)</f>
        <v>04</v>
      </c>
      <c r="H17" s="241">
        <f>IF(ISNUMBER(IF(D_I="SI",Datos!L17,Datos!L17+Datos!AF17)),IF(D_I="SI",Datos!L17,Datos!L17+Datos!AF17)," - ")</f>
        <v>311</v>
      </c>
      <c r="I17" s="1400" t="str">
        <f>IF(ISNUMBER(Datos!AS17/Datos!BM17),Datos!AS17/Datos!BM17," - ")</f>
        <v xml:space="preserve"> - </v>
      </c>
      <c r="J17" s="1401">
        <f>IF(ISNUMBER(Datos!BY17/Datos!CN17),Datos!BY17/Datos!CN17," - ")</f>
        <v>0</v>
      </c>
      <c r="K17" s="244">
        <f t="shared" si="3"/>
        <v>0.84023668639053251</v>
      </c>
      <c r="L17" s="1402">
        <f>IF(ISNUMBER(NºAsuntos!I17/NºAsuntos!G17),(NºAsuntos!I17/NºAsuntos!G17)*11," - ")</f>
        <v>3.6510138740661686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v>
      </c>
      <c r="D18" s="239">
        <f>IF(ISNUMBER(IF(D_I="SI",Datos!I18,Datos!I18+Datos!AC18)),IF(D_I="SI",Datos!I18,Datos!I18+Datos!AC18)," - ")</f>
        <v>27</v>
      </c>
      <c r="E18" s="240">
        <f>IF(ISNUMBER(IF(D_I="SI",Datos!J18,Datos!J18+Datos!AD18)),IF(D_I="SI",Datos!J18,Datos!J18+Datos!AD18)," - ")</f>
        <v>59</v>
      </c>
      <c r="F18" s="240">
        <f>IF(ISNUMBER(IF(D_I="SI",Datos!K18,Datos!K18+Datos!AE18)),IF(D_I="SI",Datos!K18,Datos!K18+Datos!AE18)," - ")</f>
        <v>50</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0.39130434782608697</v>
      </c>
      <c r="L18" s="1402">
        <f>IF(ISNUMBER(NºAsuntos!I18/NºAsuntos!G18),(NºAsuntos!I18/NºAsuntos!G18)*11," - ")</f>
        <v>7.04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192</v>
      </c>
      <c r="D23" s="1407">
        <f>SUBTOTAL(9,D16:D22)</f>
        <v>313</v>
      </c>
      <c r="E23" s="1408">
        <f>SUBTOTAL(9,E16:E22)</f>
        <v>1138</v>
      </c>
      <c r="F23" s="1408">
        <f>SUBTOTAL(9,F16:F22)</f>
        <v>987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195</v>
      </c>
      <c r="D31" s="1435">
        <f>SUBTOTAL(9,D9:D30)</f>
        <v>319</v>
      </c>
      <c r="E31" s="1436">
        <f>SUBTOTAL(9,E9:E30)</f>
        <v>1149</v>
      </c>
      <c r="F31" s="1436">
        <f>SUBTOTAL(9,F9:F30)</f>
        <v>987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D150nFzQulv8E8AcUsWCy6NvDqDyRHx0rPSSEbum+OphBQz+C8G7XF85WsJwJoWbTycIY3q6du3F1ggVj425dA==" saltValue="CvNTEvNJgG05zFMqN1NfC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FzB9+z5felnBmX8R3ClNkgrxEi3w17hvS571bu6R/OeOy8MxBuIfTfOUumLiRjb5qDsxhsBirnUaYYglIW5KQ==" saltValue="MCPgT+3gdTEvsmM/MjX2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11</v>
      </c>
      <c r="K10" s="194">
        <v>0</v>
      </c>
      <c r="L10" s="194">
        <v>14</v>
      </c>
      <c r="M10" s="194">
        <v>0</v>
      </c>
      <c r="N10" s="194">
        <v>0</v>
      </c>
      <c r="O10" s="194">
        <v>0</v>
      </c>
      <c r="P10" s="194">
        <v>1</v>
      </c>
      <c r="Q10" s="194">
        <v>0</v>
      </c>
      <c r="R10" s="194">
        <v>0</v>
      </c>
      <c r="S10" s="194">
        <v>16</v>
      </c>
      <c r="T10" s="194">
        <v>6</v>
      </c>
      <c r="U10" s="194">
        <v>16</v>
      </c>
      <c r="V10" s="194">
        <v>6</v>
      </c>
      <c r="W10" s="194">
        <v>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16</v>
      </c>
      <c r="AZ10" s="139">
        <f t="shared" si="0"/>
        <v>6</v>
      </c>
      <c r="BA10" s="139">
        <f t="shared" si="0"/>
        <v>16</v>
      </c>
      <c r="BB10" s="139">
        <f t="shared" si="0"/>
        <v>6</v>
      </c>
      <c r="BC10" s="135">
        <f t="shared" si="0"/>
        <v>1</v>
      </c>
      <c r="BD10" s="136">
        <f>IF(ISNUMBER(BA10/AZ10),BA10/AZ10," - ")</f>
        <v>2.6666666666666665</v>
      </c>
      <c r="BE10" s="137">
        <f>IF(ISNUMBER(BB10/BA10),BB10/BA10, " - ")</f>
        <v>0.375</v>
      </c>
      <c r="BF10" s="137">
        <f>IF(ISNUMBER(BC10/BA10),BC10/BA10, " - ")</f>
        <v>6.25E-2</v>
      </c>
      <c r="BG10" s="209">
        <f>IF(ISNUMBER((AY10+AZ10)/BA10),(AY10+AZ10)/BA10," - ")</f>
        <v>1.375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568</v>
      </c>
      <c r="J12" s="196">
        <v>1070</v>
      </c>
      <c r="K12" s="196">
        <v>1002</v>
      </c>
      <c r="L12" s="196">
        <v>662</v>
      </c>
      <c r="M12" s="196">
        <v>319</v>
      </c>
      <c r="N12" s="196">
        <v>333</v>
      </c>
      <c r="O12" s="194">
        <v>456</v>
      </c>
      <c r="P12" s="196">
        <v>327</v>
      </c>
      <c r="Q12" s="196">
        <v>183</v>
      </c>
      <c r="R12" s="196">
        <v>1254</v>
      </c>
      <c r="S12" s="196">
        <v>868</v>
      </c>
      <c r="T12" s="196">
        <v>1113</v>
      </c>
      <c r="U12" s="196">
        <v>1413</v>
      </c>
      <c r="V12" s="196">
        <v>568</v>
      </c>
      <c r="W12" s="196">
        <v>383</v>
      </c>
      <c r="X12" s="202">
        <v>546</v>
      </c>
      <c r="Y12" s="204">
        <v>71</v>
      </c>
      <c r="Z12" s="194">
        <v>140</v>
      </c>
      <c r="AA12" s="194">
        <v>124</v>
      </c>
      <c r="AB12" s="194">
        <v>34</v>
      </c>
      <c r="AC12" s="196">
        <v>0</v>
      </c>
      <c r="AD12" s="196">
        <v>0</v>
      </c>
      <c r="AE12" s="196">
        <v>0</v>
      </c>
      <c r="AF12" s="202">
        <v>0</v>
      </c>
      <c r="AG12" s="215">
        <v>136</v>
      </c>
      <c r="AH12" s="196">
        <v>159</v>
      </c>
      <c r="AI12" s="196">
        <v>224</v>
      </c>
      <c r="AJ12" s="216">
        <v>71</v>
      </c>
      <c r="AK12" s="195">
        <v>0</v>
      </c>
      <c r="AL12" s="196">
        <v>0</v>
      </c>
      <c r="AM12" s="196">
        <v>0</v>
      </c>
      <c r="AN12" s="202">
        <v>0</v>
      </c>
      <c r="AO12" s="283">
        <v>2</v>
      </c>
      <c r="AP12" s="168">
        <v>2</v>
      </c>
      <c r="AQ12" s="168">
        <v>2</v>
      </c>
      <c r="AR12" s="167">
        <v>2</v>
      </c>
      <c r="AS12" s="381" t="s">
        <v>1075</v>
      </c>
      <c r="AT12" s="216"/>
      <c r="AU12" s="215"/>
      <c r="AV12" s="216"/>
      <c r="AW12" s="215"/>
      <c r="AX12" s="216"/>
      <c r="AY12" s="136">
        <f t="shared" si="1"/>
        <v>1004</v>
      </c>
      <c r="AZ12" s="137">
        <f t="shared" si="1"/>
        <v>1272</v>
      </c>
      <c r="BA12" s="137">
        <f t="shared" si="1"/>
        <v>1637</v>
      </c>
      <c r="BB12" s="137">
        <f t="shared" si="1"/>
        <v>639</v>
      </c>
      <c r="BC12" s="135">
        <f>IF(ISNUMBER(X12),X12," - ")</f>
        <v>546</v>
      </c>
      <c r="BD12" s="136">
        <f t="shared" si="2"/>
        <v>1.2869496855345912</v>
      </c>
      <c r="BE12" s="137">
        <f t="shared" si="3"/>
        <v>0.39034819792302994</v>
      </c>
      <c r="BF12" s="137">
        <f t="shared" si="4"/>
        <v>0.33353695784972509</v>
      </c>
      <c r="BG12" s="209">
        <f t="shared" si="5"/>
        <v>1.3903481979230299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574</v>
      </c>
      <c r="J14" s="197">
        <f t="shared" si="7"/>
        <v>1081</v>
      </c>
      <c r="K14" s="197">
        <f t="shared" si="7"/>
        <v>1002</v>
      </c>
      <c r="L14" s="197">
        <f t="shared" si="7"/>
        <v>676</v>
      </c>
      <c r="M14" s="197">
        <f t="shared" si="7"/>
        <v>319</v>
      </c>
      <c r="N14" s="197">
        <f t="shared" si="7"/>
        <v>333</v>
      </c>
      <c r="O14" s="197">
        <f t="shared" si="7"/>
        <v>456</v>
      </c>
      <c r="P14" s="197">
        <f t="shared" si="7"/>
        <v>328</v>
      </c>
      <c r="Q14" s="197">
        <f t="shared" si="7"/>
        <v>183</v>
      </c>
      <c r="R14" s="197">
        <f t="shared" si="7"/>
        <v>1254</v>
      </c>
      <c r="S14" s="197">
        <f t="shared" si="7"/>
        <v>884</v>
      </c>
      <c r="T14" s="197">
        <f t="shared" si="7"/>
        <v>1119</v>
      </c>
      <c r="U14" s="197">
        <f t="shared" si="7"/>
        <v>1429</v>
      </c>
      <c r="V14" s="197">
        <f t="shared" si="7"/>
        <v>574</v>
      </c>
      <c r="W14" s="197">
        <f t="shared" si="7"/>
        <v>384</v>
      </c>
      <c r="X14" s="197">
        <f t="shared" si="7"/>
        <v>550</v>
      </c>
      <c r="Y14" s="197">
        <f t="shared" si="7"/>
        <v>71</v>
      </c>
      <c r="Z14" s="197">
        <f t="shared" si="7"/>
        <v>140</v>
      </c>
      <c r="AA14" s="197">
        <f t="shared" si="7"/>
        <v>124</v>
      </c>
      <c r="AB14" s="197">
        <f t="shared" si="7"/>
        <v>34</v>
      </c>
      <c r="AC14" s="197">
        <f t="shared" si="7"/>
        <v>0</v>
      </c>
      <c r="AD14" s="197">
        <f t="shared" si="7"/>
        <v>0</v>
      </c>
      <c r="AE14" s="197">
        <f t="shared" si="7"/>
        <v>0</v>
      </c>
      <c r="AF14" s="197">
        <f>SUBTOTAL(9,AF9:AF13)</f>
        <v>0</v>
      </c>
      <c r="AG14" s="197">
        <f t="shared" ref="AG14:AT14" si="8">SUBTOTAL(9,AG8:AG13)</f>
        <v>136</v>
      </c>
      <c r="AH14" s="197">
        <f t="shared" si="8"/>
        <v>159</v>
      </c>
      <c r="AI14" s="197">
        <f t="shared" si="8"/>
        <v>224</v>
      </c>
      <c r="AJ14" s="197">
        <f t="shared" si="8"/>
        <v>71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1020</v>
      </c>
      <c r="AZ14" s="197">
        <f>SUBTOTAL(9,AZ8:AZ13)</f>
        <v>1278</v>
      </c>
      <c r="BA14" s="197">
        <f>SUBTOTAL(9,BA8:BA13)</f>
        <v>1653</v>
      </c>
      <c r="BB14" s="197">
        <f>SUBTOTAL(9,BB8:BB13)</f>
        <v>645</v>
      </c>
      <c r="BC14" s="197">
        <f>SUBTOTAL(9,BC8:BC13)</f>
        <v>547</v>
      </c>
      <c r="BD14" s="219">
        <f>IF(ISNUMBER(BA14/AZ14),BA14/AZ14," - ")</f>
        <v>1.2934272300469483</v>
      </c>
      <c r="BE14" s="220">
        <f>IF(ISNUMBER(BB14/BA14),BB14/BA14, " - ")</f>
        <v>0.39019963702359345</v>
      </c>
      <c r="BF14" s="220">
        <f>IF(ISNUMBER(BC14/BA14),BC14/BA14, " - ")</f>
        <v>0.33091349062310949</v>
      </c>
      <c r="BG14" s="221">
        <f>IF(ISNUMBER((AY14+AZ14)/BA14),(AY14+AZ14)/BA14," - ")</f>
        <v>1.3901996370235934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286</v>
      </c>
      <c r="J17" s="196">
        <v>1079</v>
      </c>
      <c r="K17" s="196">
        <v>937</v>
      </c>
      <c r="L17" s="196">
        <v>311</v>
      </c>
      <c r="M17" s="196">
        <v>185</v>
      </c>
      <c r="N17" s="196">
        <v>479</v>
      </c>
      <c r="O17" s="194">
        <v>3</v>
      </c>
      <c r="P17" s="196">
        <v>28</v>
      </c>
      <c r="Q17" s="196">
        <v>24</v>
      </c>
      <c r="R17" s="196">
        <v>47</v>
      </c>
      <c r="S17" s="196">
        <v>566</v>
      </c>
      <c r="T17" s="196">
        <v>992</v>
      </c>
      <c r="U17" s="196">
        <v>1290</v>
      </c>
      <c r="V17" s="196">
        <v>286</v>
      </c>
      <c r="W17" s="196">
        <v>206</v>
      </c>
      <c r="X17" s="202">
        <v>698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566</v>
      </c>
      <c r="AZ17" s="137">
        <f t="shared" si="10"/>
        <v>992</v>
      </c>
      <c r="BA17" s="137">
        <f t="shared" si="10"/>
        <v>1290</v>
      </c>
      <c r="BB17" s="137">
        <f t="shared" si="10"/>
        <v>286</v>
      </c>
      <c r="BC17" s="135">
        <f>IF(ISNUMBER(W17),W17," - ")</f>
        <v>206</v>
      </c>
      <c r="BD17" s="136">
        <f t="shared" ref="BD17:BD22" si="12">IF(ISNUMBER(BA17/AZ17),BA17/AZ17," - ")</f>
        <v>1.3004032258064515</v>
      </c>
      <c r="BE17" s="137">
        <f t="shared" ref="BE17:BE22" si="13">IF(ISNUMBER(BB17/BA17),BB17/BA17, " - ")</f>
        <v>0.22170542635658916</v>
      </c>
      <c r="BF17" s="137">
        <f t="shared" ref="BF17:BF22" si="14">IF(ISNUMBER(BC17/BA17),BC17/BA17, " - ")</f>
        <v>0.15968992248062017</v>
      </c>
      <c r="BG17" s="209">
        <f t="shared" si="11"/>
        <v>1.2077519379844961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59</v>
      </c>
      <c r="K18" s="196">
        <v>50</v>
      </c>
      <c r="L18" s="196">
        <v>32</v>
      </c>
      <c r="M18" s="196">
        <v>2</v>
      </c>
      <c r="N18" s="196">
        <v>45</v>
      </c>
      <c r="O18" s="196">
        <v>0</v>
      </c>
      <c r="P18" s="196">
        <v>2</v>
      </c>
      <c r="Q18" s="196">
        <v>1</v>
      </c>
      <c r="R18" s="196">
        <v>1</v>
      </c>
      <c r="S18" s="196">
        <v>44</v>
      </c>
      <c r="T18" s="196">
        <v>101</v>
      </c>
      <c r="U18" s="196">
        <v>118</v>
      </c>
      <c r="V18" s="196">
        <v>27</v>
      </c>
      <c r="W18" s="196">
        <v>8</v>
      </c>
      <c r="X18" s="202">
        <v>80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44</v>
      </c>
      <c r="AZ18" s="139">
        <f t="shared" si="15"/>
        <v>101</v>
      </c>
      <c r="BA18" s="139">
        <f t="shared" si="15"/>
        <v>118</v>
      </c>
      <c r="BB18" s="139">
        <f t="shared" si="15"/>
        <v>27</v>
      </c>
      <c r="BC18" s="135">
        <f>IF(ISNUMBER(W18),W18," - ")</f>
        <v>8</v>
      </c>
      <c r="BD18" s="136">
        <f>IF(ISNUMBER(BA18/AZ18),BA18/AZ18," - ")</f>
        <v>1.1683168316831682</v>
      </c>
      <c r="BE18" s="137">
        <f>IF(ISNUMBER(BB18/BA18),BB18/BA18, " - ")</f>
        <v>0.2288135593220339</v>
      </c>
      <c r="BF18" s="137">
        <f>IF(ISNUMBER(BC18/BA18),BC18/BA18, " - ")</f>
        <v>6.7796610169491525E-2</v>
      </c>
      <c r="BG18" s="209">
        <f>IF(ISNUMBER((AY18+AZ18)/BA18),(AY18+AZ18)/BA18," - ")</f>
        <v>1.228813559322034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v>
      </c>
      <c r="J23" s="197">
        <f t="shared" si="21"/>
        <v>1138</v>
      </c>
      <c r="K23" s="197">
        <f t="shared" si="21"/>
        <v>987</v>
      </c>
      <c r="L23" s="197">
        <f t="shared" si="21"/>
        <v>343</v>
      </c>
      <c r="M23" s="197">
        <f t="shared" si="21"/>
        <v>187</v>
      </c>
      <c r="N23" s="197">
        <f t="shared" si="21"/>
        <v>524</v>
      </c>
      <c r="O23" s="197">
        <f t="shared" si="21"/>
        <v>3</v>
      </c>
      <c r="P23" s="197">
        <f t="shared" si="21"/>
        <v>30</v>
      </c>
      <c r="Q23" s="197">
        <f t="shared" si="21"/>
        <v>25</v>
      </c>
      <c r="R23" s="197">
        <f t="shared" si="21"/>
        <v>48</v>
      </c>
      <c r="S23" s="197">
        <f t="shared" si="21"/>
        <v>610</v>
      </c>
      <c r="T23" s="197">
        <f t="shared" si="21"/>
        <v>1093</v>
      </c>
      <c r="U23" s="197">
        <f t="shared" si="21"/>
        <v>1408</v>
      </c>
      <c r="V23" s="197">
        <f t="shared" si="21"/>
        <v>313</v>
      </c>
      <c r="W23" s="197">
        <f t="shared" si="21"/>
        <v>214</v>
      </c>
      <c r="X23" s="197">
        <f t="shared" si="21"/>
        <v>778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610</v>
      </c>
      <c r="AZ23" s="197">
        <f>SUBTOTAL(9,AZ15:AZ22)</f>
        <v>1093</v>
      </c>
      <c r="BA23" s="197">
        <f>SUBTOTAL(9,BA15:BA22)</f>
        <v>1408</v>
      </c>
      <c r="BB23" s="197">
        <f>SUBTOTAL(9,BB15:BB22)</f>
        <v>313</v>
      </c>
      <c r="BC23" s="197">
        <f>SUBTOTAL(9,BC15:BC22)</f>
        <v>214</v>
      </c>
      <c r="BD23" s="219">
        <f>IF(ISNUMBER(BA23/AZ23),BA23/AZ23," - ")</f>
        <v>1.2881976212259836</v>
      </c>
      <c r="BE23" s="220">
        <f>IF(ISNUMBER(BB23/BA23),BB23/BA23, " - ")</f>
        <v>0.22230113636363635</v>
      </c>
      <c r="BF23" s="220">
        <f>IF(ISNUMBER(BC23/BA23),BC23/BA23, " - ")</f>
        <v>0.15198863636363635</v>
      </c>
      <c r="BG23" s="221">
        <f>IF(ISNUMBER((AY23+AZ23)/BA23),(AY23+AZ23)/BA23," - ")</f>
        <v>1.2095170454545454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887</v>
      </c>
      <c r="J31" s="144">
        <f t="shared" si="36"/>
        <v>2219</v>
      </c>
      <c r="K31" s="144">
        <f t="shared" si="36"/>
        <v>1989</v>
      </c>
      <c r="L31" s="144">
        <f t="shared" si="36"/>
        <v>1019</v>
      </c>
      <c r="M31" s="144">
        <f t="shared" si="36"/>
        <v>506</v>
      </c>
      <c r="N31" s="144">
        <f t="shared" si="36"/>
        <v>857</v>
      </c>
      <c r="O31" s="144">
        <f t="shared" si="36"/>
        <v>459</v>
      </c>
      <c r="P31" s="144">
        <f t="shared" si="36"/>
        <v>358</v>
      </c>
      <c r="Q31" s="144">
        <f t="shared" si="36"/>
        <v>208</v>
      </c>
      <c r="R31" s="144">
        <f t="shared" si="36"/>
        <v>1302</v>
      </c>
      <c r="S31" s="144">
        <f t="shared" si="36"/>
        <v>1494</v>
      </c>
      <c r="T31" s="144">
        <f t="shared" si="36"/>
        <v>2212</v>
      </c>
      <c r="U31" s="144">
        <f t="shared" si="36"/>
        <v>2837</v>
      </c>
      <c r="V31" s="144">
        <f t="shared" si="36"/>
        <v>887</v>
      </c>
      <c r="W31" s="144">
        <f t="shared" si="36"/>
        <v>598</v>
      </c>
      <c r="X31" s="144">
        <f t="shared" si="36"/>
        <v>1328</v>
      </c>
      <c r="Y31" s="144">
        <f t="shared" si="36"/>
        <v>71</v>
      </c>
      <c r="Z31" s="144">
        <f t="shared" si="36"/>
        <v>140</v>
      </c>
      <c r="AA31" s="144">
        <f t="shared" si="36"/>
        <v>124</v>
      </c>
      <c r="AB31" s="144">
        <f t="shared" si="36"/>
        <v>34</v>
      </c>
      <c r="AC31" s="144">
        <f t="shared" si="36"/>
        <v>0</v>
      </c>
      <c r="AD31" s="144">
        <f t="shared" si="36"/>
        <v>0</v>
      </c>
      <c r="AE31" s="144">
        <f t="shared" si="36"/>
        <v>0</v>
      </c>
      <c r="AF31" s="144">
        <f t="shared" si="36"/>
        <v>0</v>
      </c>
      <c r="AG31" s="144">
        <f t="shared" si="36"/>
        <v>136</v>
      </c>
      <c r="AH31" s="144">
        <f t="shared" si="36"/>
        <v>159</v>
      </c>
      <c r="AI31" s="144">
        <f t="shared" si="36"/>
        <v>224</v>
      </c>
      <c r="AJ31" s="144">
        <f t="shared" si="36"/>
        <v>71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1630</v>
      </c>
      <c r="AZ31" s="144">
        <f>SUBTOTAL(9,AZ9:AZ30)</f>
        <v>2371</v>
      </c>
      <c r="BA31" s="144">
        <f>SUBTOTAL(9,BA9:BA30)</f>
        <v>3061</v>
      </c>
      <c r="BB31" s="144">
        <f>SUBTOTAL(9,BB9:BB30)</f>
        <v>958</v>
      </c>
      <c r="BC31" s="145">
        <f>SUBTOTAL(9,BC9:BC30)</f>
        <v>761</v>
      </c>
      <c r="BD31" s="227">
        <f>IF(ISNUMBER(BA31/AZ31),BA31/AZ31," - ")</f>
        <v>1.2910164487557994</v>
      </c>
      <c r="BE31" s="224">
        <f>IF(ISNUMBER(BB31/BA31),BB31/BA31, " - ")</f>
        <v>0.31296961777196997</v>
      </c>
      <c r="BF31" s="224">
        <f>IF(ISNUMBER(BC31/BA31),BC31/BA31, " - ")</f>
        <v>0.24861156484808886</v>
      </c>
      <c r="BG31" s="145">
        <f>IF(ISNUMBER((AY31+AZ31)/BA31),(AY31+AZ31)/BA31," - ")</f>
        <v>1.3070891865403462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X3/9mOVgjprGaebLW4vWeDrBe0g79ul2eJmJ0TpPVSzukwRc6xyAWUzBUtEo/1nAOolGwBoGulOhYuLEyK2PQ==" saltValue="m1ZGge+WqKA/Z+LOFhLC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75HfhdxaczWXAQNQ5XeoqfIMHzp3wuk9lUqYO9Vys/rrel0ArI29LcF4e/YDkXUK/F82IFzLwIdv/4ms2S4Q==" saltValue="6YKfs063VsLKhMPBzaP7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CALDAS DE REIS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140</v>
      </c>
      <c r="O12" s="549"/>
      <c r="P12" s="549"/>
      <c r="Q12" s="547">
        <f>IF(ISNUMBER(Datos!P12),Datos!P12,0)</f>
        <v>327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34</v>
      </c>
      <c r="AI12" s="549" t="str">
        <f>IF(ISNUMBER(Datos!CD12),Datos!CD12,"-")</f>
        <v>-</v>
      </c>
      <c r="AJ12" s="549" t="str">
        <f>IF(ISNUMBER(Datos!EN12),Datos!EN12," - ")</f>
        <v xml:space="preserve"> - </v>
      </c>
      <c r="AK12" s="549"/>
      <c r="AL12" s="550"/>
      <c r="AM12" s="766">
        <f>IF(ISNUMBER(Datos!R12),Datos!R12," - ")</f>
        <v>1254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319</v>
      </c>
      <c r="BD12" s="693">
        <f>IF(ISNUMBER(Datos!N12),Datos!N12," - ")</f>
        <v>333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0.9305785123966942</v>
      </c>
      <c r="BH12" s="764">
        <f>IF(ISNUMBER(((IF(J_V="SI",Datos!L12/Datos!K12,(Datos!L12+Datos!AB12)/(Datos!K12+Datos!AA12)))*11)/factor_trimestre),((IF(J_V="SI",Datos!L12/Datos!K12,(Datos!L12+Datos!AB12)/(Datos!K12+Datos!AA12)))*11)/factor_trimestre," - ")</f>
        <v>6.7992895204262878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0.12972972972972974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6</v>
      </c>
      <c r="H14" s="1198">
        <f t="shared" si="1"/>
        <v>0</v>
      </c>
      <c r="I14" s="1197">
        <f t="shared" si="1"/>
        <v>0</v>
      </c>
      <c r="J14" s="1164">
        <f t="shared" si="1"/>
        <v>0</v>
      </c>
      <c r="K14" s="1164">
        <f t="shared" si="1"/>
        <v>0</v>
      </c>
      <c r="L14" s="1198">
        <f t="shared" si="1"/>
        <v>0</v>
      </c>
      <c r="M14" s="1198">
        <f t="shared" si="1"/>
        <v>0</v>
      </c>
      <c r="N14" s="1198">
        <f t="shared" si="1"/>
        <v>140</v>
      </c>
      <c r="O14" s="1199">
        <f t="shared" si="1"/>
        <v>0</v>
      </c>
      <c r="P14" s="1199">
        <f t="shared" si="1"/>
        <v>0</v>
      </c>
      <c r="Q14" s="1198">
        <f t="shared" si="1"/>
        <v>328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183</v>
      </c>
      <c r="AD14" s="1198">
        <f t="shared" si="2"/>
        <v>0</v>
      </c>
      <c r="AE14" s="1198">
        <f t="shared" si="2"/>
        <v>0</v>
      </c>
      <c r="AF14" s="1198">
        <f t="shared" si="2"/>
        <v>14</v>
      </c>
      <c r="AG14" s="1198">
        <f t="shared" si="2"/>
        <v>0</v>
      </c>
      <c r="AH14" s="1198">
        <f t="shared" si="2"/>
        <v>34</v>
      </c>
      <c r="AI14" s="1198">
        <f t="shared" si="2"/>
        <v>0</v>
      </c>
      <c r="AJ14" s="1198">
        <f t="shared" si="2"/>
        <v>0</v>
      </c>
      <c r="AK14" s="1198">
        <f t="shared" si="2"/>
        <v>0</v>
      </c>
      <c r="AL14" s="1198">
        <f t="shared" si="2"/>
        <v>0</v>
      </c>
      <c r="AM14" s="1198">
        <f t="shared" si="2"/>
        <v>1254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319</v>
      </c>
      <c r="BD14" s="1198">
        <f t="shared" si="2"/>
        <v>333</v>
      </c>
      <c r="BE14" s="1198">
        <f t="shared" si="2"/>
        <v>0</v>
      </c>
      <c r="BF14" s="1198">
        <f t="shared" si="2"/>
        <v>0</v>
      </c>
      <c r="BG14" s="1198">
        <f>IF(ISNUMBER(Datos!K14/Datos!J14),Datos!K14/Datos!J14," - ")</f>
        <v>0.92691951896392233</v>
      </c>
      <c r="BH14" s="1202">
        <f>IF(ISNUMBER(((Datos!L14/Datos!K14)*11)/factor_trimestre),((Datos!L14/Datos!K14)*11)/factor_trimestre," - ")</f>
        <v>7.4211576846307379</v>
      </c>
      <c r="BI14" s="1198">
        <f>IF(ISNUMBER('Resol  Asuntos'!D14/NºAsuntos!G14),'Resol  Asuntos'!D14/NºAsuntos!G14," - ")</f>
        <v>0.28330373001776199</v>
      </c>
      <c r="BJ14" s="1198" t="str">
        <f>IF(ISNUMBER(Datos!CI14/Datos!CJ14),Datos!CI14/Datos!CJ14," - ")</f>
        <v xml:space="preserve"> - </v>
      </c>
      <c r="BK14" s="1198">
        <f>SUBTOTAL(9,BK8:BK13)</f>
        <v>0</v>
      </c>
      <c r="BL14" s="1198">
        <f>IF(ISNUMBER((I14-AB14+L14)/(F14)),(I14-AB14+L14)/(F14)," - ")</f>
        <v>0</v>
      </c>
      <c r="BM14" s="1203">
        <f>SUBTOTAL(9,BM9:BM13)</f>
        <v>-0.87027027027027026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169</v>
      </c>
      <c r="G17" s="743">
        <f>IF(ISNUMBER(IF(D_I="SI",Datos!I17,Datos!I17+Datos!AC17)),IF(D_I="SI",Datos!I17,Datos!I17+Datos!AC17)," - ")</f>
        <v>286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937</v>
      </c>
      <c r="AC17" s="240">
        <f>IF(ISNUMBER(Datos!Q17),Datos!Q17," - ")</f>
        <v>24</v>
      </c>
      <c r="AD17" s="374"/>
      <c r="AE17" s="562"/>
      <c r="AF17" s="741">
        <f>IF(ISNUMBER(IF(D_I="SI",Datos!L17,Datos!L17+Datos!AF17)),IF(D_I="SI",Datos!L17,Datos!L17+Datos!AF17)," - ")</f>
        <v>311</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185</v>
      </c>
      <c r="BD17" s="243">
        <f>IF(ISNUMBER(Datos!N17),Datos!N17," - ")</f>
        <v>479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0.86839666357738643</v>
      </c>
      <c r="BH17" s="764">
        <f>IF(ISNUMBER(((IF(D_I="SI",Datos!L17/Datos!K17,(Datos!L17+Datos!AF17)/(Datos!K17+Datos!AE17)))*11)/factor_trimestre),((IF(D_I="SI",Datos!L17/Datos!K17,(Datos!L17+Datos!AF17)/(Datos!K17+Datos!AE17)))*11)/factor_trimestre," - ")</f>
        <v>3.6510138740661686</v>
      </c>
      <c r="BI17" s="266">
        <f>IF(ISNUMBER('Resol  Asuntos'!D17/NºAsuntos!G17),'Resol  Asuntos'!D17/NºAsuntos!G17," - ")</f>
        <v>0.19743863393810032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50</v>
      </c>
      <c r="AC18" s="547">
        <f>IF(ISNUMBER(Datos!Q18),Datos!Q18," - ")</f>
        <v>1</v>
      </c>
      <c r="AD18" s="549"/>
      <c r="AE18" s="562"/>
      <c r="AF18" s="551">
        <f>IF(ISNUMBER(Datos!L18),Datos!L18,"-")</f>
        <v>32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45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0.84745762711864403</v>
      </c>
      <c r="BH18" s="764">
        <f>IF(ISNUMBER(((IF(D_I="SI",Datos!L18/Datos!K18,(Datos!L18+Datos!AF18)/(Datos!K18+Datos!AE18)))*11)/factor_trimestre),((IF(D_I="SI",Datos!L18/Datos!K18,(Datos!L18+Datos!AF18)/(Datos!K18+Datos!AE18)))*11)/factor_trimestre," - ")</f>
        <v>7.04</v>
      </c>
      <c r="BI18" s="763">
        <f>IF(ISNUMBER('Resol  Asuntos'!D18/NºAsuntos!G18),'Resol  Asuntos'!D18/NºAsuntos!G18," - ")</f>
        <v>0.04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169</v>
      </c>
      <c r="G23" s="1197">
        <f>SUBTOTAL(9,G16:G22)</f>
        <v>313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987</v>
      </c>
      <c r="AC23" s="1198">
        <f t="shared" si="5"/>
        <v>25</v>
      </c>
      <c r="AD23" s="1198">
        <f t="shared" si="5"/>
        <v>0</v>
      </c>
      <c r="AE23" s="1198">
        <f t="shared" si="5"/>
        <v>0</v>
      </c>
      <c r="AF23" s="1198">
        <f t="shared" si="5"/>
        <v>343</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187</v>
      </c>
      <c r="BD23" s="1198">
        <f t="shared" si="5"/>
        <v>524</v>
      </c>
      <c r="BE23" s="1198">
        <f t="shared" si="5"/>
        <v>0</v>
      </c>
      <c r="BF23" s="1198">
        <f t="shared" si="5"/>
        <v>0</v>
      </c>
      <c r="BG23" s="1198">
        <f>IF(ISNUMBER(Datos!K23/Datos!J23),Datos!K23/Datos!J23," - ")</f>
        <v>0.86731107205623903</v>
      </c>
      <c r="BH23" s="1202">
        <f>IF(ISNUMBER(((Datos!L23/Datos!K23)*11)/factor_trimestre),((Datos!L23/Datos!K23)*11)/factor_trimestre," - ")</f>
        <v>3.8226950354609928</v>
      </c>
      <c r="BI23" s="1198">
        <f>SUBTOTAL(9,BI16:BI22)</f>
        <v>0.23743863393810033</v>
      </c>
      <c r="BJ23" s="1198">
        <f>SUBTOTAL(9,BJ16:BJ22)</f>
        <v>0</v>
      </c>
      <c r="BK23" s="1198">
        <f>SUBTOTAL(9,BK16:BK22)</f>
        <v>0</v>
      </c>
      <c r="BL23" s="1198">
        <f>IF(ISNUMBER((I23-AB23+L23)/(F23)),(I23-AB23+L23)/(F23)," - ")</f>
        <v>-5.8402366863905328</v>
      </c>
      <c r="BM23" s="1205">
        <f>IF(ISNUMBER((Datos!P23-Datos!Q23)/(Datos!R23-Datos!P23+Datos!Q23)),(Datos!P23-Datos!Q23)/(Datos!R23-Datos!P23+Datos!Q23)," - ")</f>
        <v>0.11627906976744186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172</v>
      </c>
      <c r="G31" s="1117">
        <f t="shared" si="18"/>
        <v>319</v>
      </c>
      <c r="H31" s="1119">
        <f t="shared" si="18"/>
        <v>0</v>
      </c>
      <c r="I31" s="1117">
        <f t="shared" si="18"/>
        <v>0</v>
      </c>
      <c r="J31" s="1119">
        <f t="shared" si="18"/>
        <v>0</v>
      </c>
      <c r="K31" s="1119">
        <f t="shared" si="18"/>
        <v>0</v>
      </c>
      <c r="L31" s="1180">
        <f t="shared" si="18"/>
        <v>0</v>
      </c>
      <c r="M31" s="1180">
        <f t="shared" si="18"/>
        <v>0</v>
      </c>
      <c r="N31" s="1180">
        <f t="shared" si="18"/>
        <v>140</v>
      </c>
      <c r="O31" s="1180">
        <f t="shared" si="18"/>
        <v>0</v>
      </c>
      <c r="P31" s="1180">
        <f t="shared" si="18"/>
        <v>0</v>
      </c>
      <c r="Q31" s="1119">
        <f t="shared" si="18"/>
        <v>358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987</v>
      </c>
      <c r="AC31" s="1118">
        <f t="shared" si="19"/>
        <v>208</v>
      </c>
      <c r="AD31" s="1118">
        <f t="shared" si="19"/>
        <v>0</v>
      </c>
      <c r="AE31" s="1118">
        <f t="shared" si="19"/>
        <v>0</v>
      </c>
      <c r="AF31" s="1125">
        <f t="shared" si="19"/>
        <v>357</v>
      </c>
      <c r="AG31" s="1125">
        <f t="shared" si="19"/>
        <v>0</v>
      </c>
      <c r="AH31" s="1125">
        <f t="shared" si="19"/>
        <v>34</v>
      </c>
      <c r="AI31" s="1125">
        <f t="shared" si="19"/>
        <v>0</v>
      </c>
      <c r="AJ31" s="1118">
        <f t="shared" si="19"/>
        <v>0</v>
      </c>
      <c r="AK31" s="1125">
        <f t="shared" si="19"/>
        <v>0</v>
      </c>
      <c r="AL31" s="1125">
        <f t="shared" si="19"/>
        <v>0</v>
      </c>
      <c r="AM31" s="1125">
        <f t="shared" si="19"/>
        <v>1302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506</v>
      </c>
      <c r="BD31" s="1117">
        <f t="shared" si="19"/>
        <v>857</v>
      </c>
      <c r="BE31" s="1117">
        <f t="shared" si="19"/>
        <v>0</v>
      </c>
      <c r="BF31" s="1127">
        <f t="shared" si="19"/>
        <v>0</v>
      </c>
      <c r="BG31" s="1223">
        <f>IF(ISNUMBER(Datos!K31/Datos!J31),Datos!K31/Datos!J31," - ")</f>
        <v>0.89634970707525907</v>
      </c>
      <c r="BH31" s="1223">
        <f>IF(ISNUMBER(((Datos!L31/Datos!K31)*11)/factor_trimestre),((Datos!L31/Datos!K31)*11)/factor_trimestre," - ")</f>
        <v>5.6354952237305174</v>
      </c>
      <c r="BI31" s="1103">
        <f>IF(ISNUMBER(Datos!J31/Datos!I31),Datos!J31/Datos!I31," - ")</f>
        <v>2.5016910935738443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-5.7383720930232558</v>
      </c>
      <c r="BM31" s="1188">
        <f>IF(ISNUMBER((Datos!P31-Datos!Q31+R31)/(Datos!R31-Datos!P31+Datos!Q31-R31)),(Datos!P31-Datos!Q31+R31)/(Datos!R31-Datos!P31+Datos!Q31-R31)," - ")</f>
        <v>0.13020833333333334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91.142857142857139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86.507032469427969</v>
      </c>
      <c r="G33" s="674">
        <f>IF(ISNUMBER(STDEV(G8:G30)),STDEV(G8:G30),"-")</f>
        <v>142.83840353283679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465.11109783935854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143.77661244345092</v>
      </c>
      <c r="BD33" s="673"/>
      <c r="BE33" s="673">
        <f>IF(ISNUMBER(STDEV(BE8:BE30)),STDEV(BE8:BE30),"-")</f>
        <v>0</v>
      </c>
      <c r="BF33" s="678">
        <f>IF(ISNUMBER(STDEV(BF8:BF30)),STDEV(BF8:BF30),"-")</f>
        <v>0</v>
      </c>
      <c r="BG33" s="1052">
        <f>IF(ISNUMBER(STDEV(BG8:BG30)),STDEV(BG8:BG30),"-")</f>
        <v>0.36417027789766127</v>
      </c>
      <c r="BH33" s="1058">
        <f>IF(ISNUMBER(STDEV(BH8:BH30)),STDEV(BH8:BH30),"-")</f>
        <v>1.8491939786049518</v>
      </c>
      <c r="BI33" s="273">
        <f>IF(ISNUMBER(STDEV(BI8:BI30)),STDEV(BI8:BI30),"-")</f>
        <v>0.10568903460599262</v>
      </c>
      <c r="BJ33" s="244" t="str">
        <f>IF(ISNUMBER(BL33/BM33),BL33/BM33," - ")</f>
        <v xml:space="preserve"> - </v>
      </c>
      <c r="BK33" s="709"/>
      <c r="BL33" s="681">
        <f>IF(ISNUMBER(STDEV(BL8:BL30)),STDEV(BL8:BL30),"-")</f>
        <v>4.129670964681198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6g1KOHOje6ByZHHZzdYV3i4pUjD8j8NxHDS7SLuGauWjNDlo2Uj2HI++WH09Il5wsQpcBYpVC1/Z1CswHxHFCQ==" saltValue="7hDJ6wio1yS/GJBdA/cO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CALDAS DE REIS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183</v>
      </c>
      <c r="AA12" s="551" t="str">
        <f>IF(ISNUMBER(IF(J_V="SI",Datos!L12,Datos!L12+Datos!AB12)-IF(Monitorios="SI",Datos!CD12,0)),
                          IF(J_V="SI",Datos!L12,Datos!L12+Datos!AB12)-IF(Monitorios="SI",Datos!CD12,0),
                          " - ")</f>
        <v xml:space="preserve"> - </v>
      </c>
      <c r="AB12" s="549"/>
      <c r="AC12" s="549"/>
      <c r="AD12" s="563"/>
      <c r="AE12" s="563">
        <f>IF(ISNUMBER(Datos!R12),Datos!R12," - ")</f>
        <v>1254</v>
      </c>
      <c r="AF12" s="693" t="str">
        <f>IF(ISNUMBER(Datos!BV12),Datos!BV12," - ")</f>
        <v xml:space="preserve"> - </v>
      </c>
      <c r="AG12" s="552" t="str">
        <f>IF(ISNUMBER(Datos!DV12),Datos!DV12," - ")</f>
        <v xml:space="preserve"> - </v>
      </c>
      <c r="AH12" s="553"/>
      <c r="AI12" s="554"/>
      <c r="AJ12" s="552">
        <f>IF(ISNUMBER(Datos!M12),Datos!M12," - ")</f>
        <v>319</v>
      </c>
      <c r="AK12" s="693">
        <f>IF(ISNUMBER(Datos!N12),Datos!N12," - ")</f>
        <v>333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6.7992895204262878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0.12972972972972974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6</v>
      </c>
      <c r="H14" s="1211"/>
      <c r="I14" s="1197">
        <f t="shared" ref="I14:N14" si="1">SUBTOTAL(9,I8:I13)</f>
        <v>0</v>
      </c>
      <c r="J14" s="1164">
        <f t="shared" si="1"/>
        <v>0</v>
      </c>
      <c r="K14" s="1211">
        <f t="shared" si="1"/>
        <v>0</v>
      </c>
      <c r="L14" s="1211">
        <f t="shared" si="1"/>
        <v>0</v>
      </c>
      <c r="M14" s="1211">
        <f t="shared" si="1"/>
        <v>0</v>
      </c>
      <c r="N14" s="1211">
        <f t="shared" si="1"/>
        <v>328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183</v>
      </c>
      <c r="AA14" s="1199">
        <f t="shared" si="3"/>
        <v>14</v>
      </c>
      <c r="AB14" s="1199">
        <f t="shared" si="3"/>
        <v>0</v>
      </c>
      <c r="AC14" s="1199">
        <f t="shared" si="3"/>
        <v>0</v>
      </c>
      <c r="AD14" s="1199">
        <f t="shared" si="3"/>
        <v>0</v>
      </c>
      <c r="AE14" s="1199">
        <f t="shared" si="3"/>
        <v>1254</v>
      </c>
      <c r="AF14" s="1211">
        <f t="shared" si="3"/>
        <v>0</v>
      </c>
      <c r="AG14" s="1211">
        <f t="shared" si="3"/>
        <v>0</v>
      </c>
      <c r="AH14" s="1211">
        <f t="shared" si="3"/>
        <v>0</v>
      </c>
      <c r="AI14" s="1211">
        <f t="shared" si="3"/>
        <v>0</v>
      </c>
      <c r="AJ14" s="1211">
        <f t="shared" si="3"/>
        <v>319</v>
      </c>
      <c r="AK14" s="1211">
        <f t="shared" si="3"/>
        <v>333</v>
      </c>
      <c r="AL14" s="1211">
        <f t="shared" si="3"/>
        <v>0</v>
      </c>
      <c r="AM14" s="1211">
        <f t="shared" si="3"/>
        <v>0</v>
      </c>
      <c r="AN14" s="1211">
        <f t="shared" si="3"/>
        <v>0</v>
      </c>
      <c r="AO14" s="1203">
        <f>IF(ISNUMBER(((NºAsuntos!I14/NºAsuntos!G14)*11)/factor_trimestre),((NºAsuntos!I14/NºAsuntos!G14)*11)/factor_trimestre," - ")</f>
        <v>6.9360568383658965</v>
      </c>
      <c r="AP14" s="1213" t="str">
        <f>IF(ISNUMBER(Datos!CI14/Datos!CJ14),Datos!CI14/Datos!CJ14," - ")</f>
        <v xml:space="preserve"> - </v>
      </c>
      <c r="AQ14" s="1236">
        <f t="shared" ref="AQ14:AV14" si="4">SUBTOTAL(9,AQ9:AQ13)</f>
        <v>0</v>
      </c>
      <c r="AR14" s="1236">
        <f t="shared" si="4"/>
        <v>-0.87027027027027026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169</v>
      </c>
      <c r="G17" s="552">
        <f>IF(ISNUMBER(IF(D_I="SI",Datos!I17,Datos!I17+Datos!AC17)),IF(D_I="SI",Datos!I17,Datos!I17+Datos!AC17)," - ")</f>
        <v>286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937</v>
      </c>
      <c r="Z17" s="805">
        <f>IF(ISNUMBER(Datos!Q17),Datos!Q17," - ")</f>
        <v>24</v>
      </c>
      <c r="AA17" s="551">
        <f>IF(ISNUMBER(IF(D_I="SI",Datos!L17,Datos!L17+Datos!AF17)),IF(D_I="SI",Datos!L17,Datos!L17+Datos!AF17)," - ")</f>
        <v>311</v>
      </c>
      <c r="AB17" s="549"/>
      <c r="AC17" s="549"/>
      <c r="AD17" s="563"/>
      <c r="AE17" s="563">
        <f>IF(ISNUMBER(Datos!R17),Datos!R17," - ")</f>
        <v>47</v>
      </c>
      <c r="AF17" s="693" t="str">
        <f>IF(ISNUMBER(Datos!BV17),Datos!BV17," - ")</f>
        <v xml:space="preserve"> - </v>
      </c>
      <c r="AG17" s="552"/>
      <c r="AH17" s="553"/>
      <c r="AI17" s="554"/>
      <c r="AJ17" s="552">
        <f>IF(ISNUMBER(Datos!M17),Datos!M17," - ")</f>
        <v>185</v>
      </c>
      <c r="AK17" s="693">
        <f>IF(ISNUMBER(Datos!N17),Datos!N17," - ")</f>
        <v>479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3.6510138740661686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50</v>
      </c>
      <c r="Z18" s="805">
        <f>IF(ISNUMBER(Datos!Q18),Datos!Q18," - ")</f>
        <v>1</v>
      </c>
      <c r="AA18" s="551">
        <f>IF(ISNUMBER(Datos!L18),Datos!L18,"-")</f>
        <v>32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v>
      </c>
      <c r="AK18" s="693">
        <f>IF(ISNUMBER(Datos!N18),Datos!N18," - ")</f>
        <v>45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169</v>
      </c>
      <c r="G23" s="1197">
        <f>SUBTOTAL(9,G16:G22)</f>
        <v>313</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987</v>
      </c>
      <c r="Z23" s="1240">
        <f t="shared" si="6"/>
        <v>25</v>
      </c>
      <c r="AA23" s="1240">
        <f t="shared" si="6"/>
        <v>343</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187</v>
      </c>
      <c r="AK23" s="1240">
        <f t="shared" si="6"/>
        <v>524</v>
      </c>
      <c r="AL23" s="1240">
        <f t="shared" si="6"/>
        <v>0</v>
      </c>
      <c r="AM23" s="1240">
        <f t="shared" si="6"/>
        <v>0</v>
      </c>
      <c r="AN23" s="1240">
        <f t="shared" si="6"/>
        <v>0</v>
      </c>
      <c r="AO23" s="1242">
        <f>IF(ISNUMBER(((NºAsuntos!I23/NºAsuntos!G23)*11)/factor_trimestre),((NºAsuntos!I23/NºAsuntos!G23)*11)/factor_trimestre," - ")</f>
        <v>3.8226950354609928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172</v>
      </c>
      <c r="G31" s="1117">
        <f t="shared" si="12"/>
        <v>319</v>
      </c>
      <c r="H31" s="1118">
        <f t="shared" si="12"/>
        <v>0</v>
      </c>
      <c r="I31" s="1117">
        <f t="shared" si="12"/>
        <v>0</v>
      </c>
      <c r="J31" s="1119">
        <f t="shared" si="12"/>
        <v>0</v>
      </c>
      <c r="K31" s="1117">
        <f t="shared" si="12"/>
        <v>0</v>
      </c>
      <c r="L31" s="1120">
        <f t="shared" si="12"/>
        <v>0</v>
      </c>
      <c r="M31" s="1117">
        <f t="shared" si="12"/>
        <v>0</v>
      </c>
      <c r="N31" s="1118">
        <f t="shared" si="12"/>
        <v>358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987</v>
      </c>
      <c r="Z31" s="1124">
        <f t="shared" si="13"/>
        <v>208</v>
      </c>
      <c r="AA31" s="1125">
        <f t="shared" si="13"/>
        <v>357</v>
      </c>
      <c r="AB31" s="1125">
        <f t="shared" si="13"/>
        <v>0</v>
      </c>
      <c r="AC31" s="1125">
        <f t="shared" si="13"/>
        <v>0</v>
      </c>
      <c r="AD31" s="1126">
        <f t="shared" si="13"/>
        <v>0</v>
      </c>
      <c r="AE31" s="1126">
        <f t="shared" si="13"/>
        <v>1302</v>
      </c>
      <c r="AF31" s="1127">
        <f t="shared" si="13"/>
        <v>0</v>
      </c>
      <c r="AG31" s="1128">
        <f t="shared" si="13"/>
        <v>0</v>
      </c>
      <c r="AH31" s="1129">
        <f t="shared" si="13"/>
        <v>0</v>
      </c>
      <c r="AI31" s="1127">
        <f t="shared" si="13"/>
        <v>0</v>
      </c>
      <c r="AJ31" s="1117">
        <f t="shared" si="13"/>
        <v>506</v>
      </c>
      <c r="AK31" s="1117">
        <f t="shared" si="13"/>
        <v>857</v>
      </c>
      <c r="AL31" s="1117">
        <f t="shared" si="13"/>
        <v>0</v>
      </c>
      <c r="AM31" s="1130">
        <f t="shared" si="13"/>
        <v>0</v>
      </c>
      <c r="AN31" s="1120">
        <f>IF(ISNUMBER(Datos!K31/Datos!J31),Datos!K31/Datos!J31," - ")</f>
        <v>0.89634970707525907</v>
      </c>
      <c r="AO31" s="1120">
        <f>IF(ISNUMBER(FIND("06",Criterios!A8,1)),(IF(ISNUMBER(((Datos!R31/Datos!Q31)*11)/factor_trimestre),((Datos!R31/Datos!Q31)*11)/factor_trimestre," - ")),(IF(ISNUMBER(((Datos!L31/Datos!K31)*11)/factor_trimestre),((Datos!L31/Datos!K31)*11)/factor_trimestre," - ")))</f>
        <v>5.6354952237305174</v>
      </c>
      <c r="AP31" s="1131" t="str">
        <f>IF(ISNUMBER(Datos!CI31/Datos!CJ31),Datos!CI31/Datos!CJ31," - ")</f>
        <v xml:space="preserve"> - </v>
      </c>
      <c r="AQ31" s="1131">
        <f>IF(OR(ISNUMBER(FIND("01",Criterios!A8,1)),ISNUMBER(FIND("02",Criterios!A8,1)),ISNUMBER(FIND("03",Criterios!A8,1)),ISNUMBER(FIND("04",Criterios!A8,1))),(J31-Y31+K31)/(F31-K31),(I31-Y31+K31)/(F31-K31))</f>
        <v>-5.7383720930232558</v>
      </c>
      <c r="AR31" s="1131">
        <f>IF(ISNUMBER((Datos!P31-Datos!Q31+O31)/(Datos!R31-Datos!P31+Datos!Q31-O31)),(Datos!P31-Datos!Q31+O31)/(Datos!R31-Datos!P31+Datos!Q31-O31)," - ")</f>
        <v>0.13020833333333334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91.142857142857139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86.507032469427969</v>
      </c>
      <c r="G33" s="674">
        <f>IF(ISNUMBER(STDEV(G8:G30)),STDEV(G8:G30),"-")</f>
        <v>142.83840353283679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143.77661244345092</v>
      </c>
      <c r="AK33" s="276"/>
      <c r="AL33" s="276">
        <f>IF(ISNUMBER(STDEV(AL8:AL30)),STDEV(AL8:AL30),"-")</f>
        <v>0</v>
      </c>
      <c r="AM33" s="278">
        <f>IF(ISNUMBER(STDEV(AM8:AM30)),STDEV(AM8:AM30),"-")</f>
        <v>0</v>
      </c>
      <c r="AN33" s="660">
        <f>IF(ISNUMBER(STDEV(AN8:AN30)),STDEV(AN8:AN30),"-")</f>
        <v>0</v>
      </c>
      <c r="AO33" s="661">
        <f>IF(ISNUMBER(STDEV(AO8:AO30)),STDEV(AO8:AO30),"-")</f>
        <v>1.7494211456843849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Htltvm77eoKuh+3UG6LtyviEv8hj3dy8vNfcaGbU7Ri3Ginu469RaIv7k7PtUXfgNzt9W2S8bS7EUEdkG8cdwA==" saltValue="5NZTBwsC43GNqNHqZhSW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x2IZvd99nEdaysb9Y5gUbLyOVxeKsjr01yvB7UbghHu/lRlLZvZIYT4effBVrZXubfkgXhCOqUdhrnhRV9jkw==" saltValue="2iRSeMVzpSYNYmUFR7N+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tBR9qHS01bAPqlo6+6Iq6gIKIE0o7TRsLGfGlNNv4vUFBxhyd87lHzKSUuGokZ7OF4Ze/vT3YRSMz5p5fxRg==" saltValue="NhWE3RXjuA7lanih4Spp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CALDAS DE REIS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0.28330373001776199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0.20032598863100237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O+1twSqC+kIDfBgXdjtkTvb5FBSLmpJg8xxfGp5GryJbnBCg9Ug1LFNKkIfLZJbmo0dHFm/67OmPH9zN3ySPw==" saltValue="gtk3G9G5NkHDmq36l/G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F/hSv4+GHLjaqQS3x/tv87YyOSi+i0i7PId2Xq5nP9bNFPi5ET3OWNB8JKYT1Y8NQN5CeWfinpxqQmaVpkSjg==" saltValue="b6Hsu53BDjj67IhBMN/e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CALDAS DE REIS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11</v>
      </c>
      <c r="F10" s="452">
        <f>IF(ISNUMBER(E10/B10),E10/B10," - ")</f>
        <v>11</v>
      </c>
      <c r="G10" s="451">
        <f>IF(ISNUMBER(Datos!K10),Datos!K10," - ")</f>
        <v>0</v>
      </c>
      <c r="H10" s="452">
        <f>IF(ISNUMBER(G10/B10),G10/B10," - ")</f>
        <v>0</v>
      </c>
      <c r="I10" s="451">
        <f>IF(ISNUMBER(Datos!L10),Datos!L10," - ")</f>
        <v>14</v>
      </c>
      <c r="J10" s="452">
        <f>IF(ISNUMBER(I10/B10),I10/B10," - ")</f>
        <v>14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639</v>
      </c>
      <c r="D12" s="452">
        <f>IF(ISNUMBER(C12/Datos!BH12),C12/Datos!BH12," - ")</f>
        <v>319.5</v>
      </c>
      <c r="E12" s="451">
        <f>IF(ISNUMBER(IF(J_V="SI",Datos!J12,Datos!J12+Datos!Z12)),IF(J_V="SI",Datos!J12,Datos!J12+Datos!Z12)," - ")</f>
        <v>1210</v>
      </c>
      <c r="F12" s="452">
        <f>IF(ISNUMBER(E12/B12),E12/B12," - ")</f>
        <v>605</v>
      </c>
      <c r="G12" s="451">
        <f>IF(ISNUMBER(IF(J_V="SI",Datos!K12,Datos!K12+Datos!AA12)),IF(J_V="SI",Datos!K12,Datos!K12+Datos!AA12)," - ")</f>
        <v>1126</v>
      </c>
      <c r="H12" s="452">
        <f>IF(ISNUMBER(G12/B12),G12/B12," - ")</f>
        <v>563</v>
      </c>
      <c r="I12" s="451">
        <f>IF(ISNUMBER(IF(J_V="SI",Datos!L12,Datos!L12+Datos!AB12)),IF(J_V="SI",Datos!L12,Datos!L12+Datos!AB12)," - ")</f>
        <v>696</v>
      </c>
      <c r="J12" s="452">
        <f>IF(ISNUMBER(I12/B12),I12/B12," - ")</f>
        <v>348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645</v>
      </c>
      <c r="D14" s="1147" t="str">
        <f>IF(ISNUMBER(C14/Datos!BI14),C14/Datos!BI14," - ")</f>
        <v xml:space="preserve"> - </v>
      </c>
      <c r="E14" s="1146">
        <f>SUBTOTAL(9,E8:E13)</f>
        <v>1221</v>
      </c>
      <c r="F14" s="1147">
        <f>IF(ISNUMBER(E14/B14),E14/B14," - ")</f>
        <v>610.5</v>
      </c>
      <c r="G14" s="1146">
        <f>SUBTOTAL(9,G8:G13)</f>
        <v>1126</v>
      </c>
      <c r="H14" s="1147">
        <f>IF(ISNUMBER(G14/B14),G14/B14," - ")</f>
        <v>563</v>
      </c>
      <c r="I14" s="1146">
        <f>SUBTOTAL(9,I8:I13)</f>
        <v>710</v>
      </c>
      <c r="J14" s="1147">
        <f>IF(ISNUMBER(I14/B14),I14/B14," - ")</f>
        <v>355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286</v>
      </c>
      <c r="D17" s="452">
        <f>IF(ISNUMBER(C17/Datos!BH17),C17/Datos!BH17," - ")</f>
        <v>143</v>
      </c>
      <c r="E17" s="451">
        <f>IF(ISNUMBER(IF(D_I="SI",Datos!J17,Datos!J17+Datos!AD17)),IF(D_I="SI",Datos!J17,Datos!J17+Datos!AD17)," - ")</f>
        <v>1079</v>
      </c>
      <c r="F17" s="452">
        <f>IF(ISNUMBER(E17/B17),E17/B17," - ")</f>
        <v>539.5</v>
      </c>
      <c r="G17" s="451">
        <f>IF(ISNUMBER(IF(D_I="SI",Datos!K17,Datos!K17+Datos!AE17)),IF(D_I="SI",Datos!K17,Datos!K17+Datos!AE17)," - ")</f>
        <v>937</v>
      </c>
      <c r="H17" s="452">
        <f>IF(ISNUMBER(G17/B17),G17/B17," - ")</f>
        <v>468.5</v>
      </c>
      <c r="I17" s="451">
        <f>IF(ISNUMBER(IF(D_I="SI",Datos!L17,Datos!L17+Datos!AF17)),IF(D_I="SI",Datos!L17,Datos!L17+Datos!AF17)," - ")</f>
        <v>311</v>
      </c>
      <c r="J17" s="452">
        <f>IF(ISNUMBER(I17/B17),I17/B17," - ")</f>
        <v>155.5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59</v>
      </c>
      <c r="F18" s="452">
        <f>IF(ISNUMBER(E18/B18),E18/B18," - ")</f>
        <v>59</v>
      </c>
      <c r="G18" s="451">
        <f>IF(ISNUMBER(IF(D_I="SI",Datos!K18,Datos!K18+Datos!AE18)),IF(D_I="SI",Datos!K18,Datos!K18+Datos!AE18)," - ")</f>
        <v>50</v>
      </c>
      <c r="H18" s="452">
        <f>IF(ISNUMBER(G18/B18),G18/B18," - ")</f>
        <v>50</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313</v>
      </c>
      <c r="D23" s="1147" t="str">
        <f>IF(ISNUMBER(C23/Datos!BI23),C23/Datos!BI23," - ")</f>
        <v xml:space="preserve"> - </v>
      </c>
      <c r="E23" s="1146">
        <f>SUBTOTAL(9,E15:E22)</f>
        <v>1138</v>
      </c>
      <c r="F23" s="1147">
        <f>IF(ISNUMBER(E23/B23),E23/B23," - ")</f>
        <v>569</v>
      </c>
      <c r="G23" s="1146">
        <f>SUBTOTAL(9,G15:G22)</f>
        <v>987</v>
      </c>
      <c r="H23" s="1147">
        <f>IF(ISNUMBER(G23/B23),G23/B23," - ")</f>
        <v>493.5</v>
      </c>
      <c r="I23" s="1146">
        <f>SUBTOTAL(9,I15:I22)</f>
        <v>343</v>
      </c>
      <c r="J23" s="1147">
        <f>IF(ISNUMBER(I23/B23),I23/B23," - ")</f>
        <v>171.5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958</v>
      </c>
      <c r="D31" s="1085" t="str">
        <f>IF(ISNUMBER(C31/Datos!BI31),C31/Datos!BI31," - ")</f>
        <v xml:space="preserve"> - </v>
      </c>
      <c r="E31" s="1084">
        <f>SUBTOTAL(9,E9:E30)</f>
        <v>2359</v>
      </c>
      <c r="F31" s="1085">
        <f>IF(ISNUMBER(E31/B31),E31/B31," - ")</f>
        <v>1179.5</v>
      </c>
      <c r="G31" s="1084">
        <f>SUBTOTAL(9,G9:G30)</f>
        <v>2113</v>
      </c>
      <c r="H31" s="1085">
        <f>IF(ISNUMBER(G31/B31),G31/B31," - ")</f>
        <v>1056.5</v>
      </c>
      <c r="I31" s="1084">
        <f>SUBTOTAL(9,I9:I30)</f>
        <v>1053</v>
      </c>
      <c r="J31" s="1085">
        <f>IF(ISNUMBER(I31/B31),I31/B31," - ")</f>
        <v>526.5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j/mtPxFJYjwC1PQoZjbZFFrOvpEpQHyNyySCI9ldHNTQzzjRdAoEeQVwJDf5to2ZBsE5hFgMramBgRUg2XseeA==" saltValue="we6i6Xe5d/5hZz8R7MrY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CALDAS DE REIS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319</v>
      </c>
      <c r="AM12" s="914">
        <f>IF(ISNUMBER(Datos!N12+DatosP!N17),Datos!N12+DatosP!N17," - ")</f>
        <v>333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6.7992895204262878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0.12972972972972974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6</v>
      </c>
      <c r="H14" s="1256">
        <f t="shared" si="0"/>
        <v>0</v>
      </c>
      <c r="I14" s="1258">
        <f t="shared" si="0"/>
        <v>0</v>
      </c>
      <c r="J14" s="1257">
        <f t="shared" si="0"/>
        <v>0</v>
      </c>
      <c r="K14" s="1257">
        <f t="shared" si="0"/>
        <v>0</v>
      </c>
      <c r="L14" s="1259">
        <f t="shared" si="0"/>
        <v>0</v>
      </c>
      <c r="M14" s="1259">
        <f t="shared" si="0"/>
        <v>0</v>
      </c>
      <c r="N14" s="1257">
        <f t="shared" si="0"/>
        <v>328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183</v>
      </c>
      <c r="AE14" s="1257">
        <f t="shared" si="1"/>
        <v>0</v>
      </c>
      <c r="AF14" s="1257">
        <f t="shared" si="1"/>
        <v>14</v>
      </c>
      <c r="AG14" s="1257">
        <f t="shared" si="1"/>
        <v>0</v>
      </c>
      <c r="AH14" s="1257">
        <f t="shared" si="1"/>
        <v>1254</v>
      </c>
      <c r="AI14" s="1257">
        <f t="shared" si="1"/>
        <v>0</v>
      </c>
      <c r="AJ14" s="1257">
        <f t="shared" si="1"/>
        <v>0</v>
      </c>
      <c r="AK14" s="1257">
        <f t="shared" si="1"/>
        <v>0</v>
      </c>
      <c r="AL14" s="1257">
        <f t="shared" si="1"/>
        <v>319</v>
      </c>
      <c r="AM14" s="1257">
        <f t="shared" si="1"/>
        <v>333</v>
      </c>
      <c r="AN14" s="1257">
        <f t="shared" si="1"/>
        <v>0</v>
      </c>
      <c r="AO14" s="1257">
        <f t="shared" si="1"/>
        <v>0</v>
      </c>
      <c r="AP14" s="1262">
        <f>IF(ISNUMBER(((Datos!L14/Datos!K14)*11)/factor_trimestre),((Datos!L14/Datos!K14)*11)/factor_trimestre," - ")</f>
        <v>7.4211576846307379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0.12972972972972974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3.8226950354609928</v>
      </c>
      <c r="AQ23" s="1262">
        <f>IF(ISNUMBER(((Datos!M23/Datos!L23)*11)/factor_trimestre),((Datos!M23/Datos!L23)*11)/factor_trimestre," - ")</f>
        <v>5.9970845481049562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0.11627906976744186</v>
      </c>
      <c r="AW23" s="1265">
        <f>IF(ISNUMBER((Datos!Q23-Datos!R23)/(Datos!S23-Datos!Q23+Datos!R23)),(Datos!Q23-Datos!R23)/(Datos!S23-Datos!Q23+Datos!R23)," - ")</f>
        <v>-3.6334913112164295E-2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6</v>
      </c>
      <c r="H31" s="1278">
        <f t="shared" si="8"/>
        <v>0</v>
      </c>
      <c r="I31" s="1279">
        <f t="shared" si="8"/>
        <v>0</v>
      </c>
      <c r="J31" s="1280">
        <f t="shared" si="8"/>
        <v>0</v>
      </c>
      <c r="K31" s="1280">
        <f t="shared" si="8"/>
        <v>0</v>
      </c>
      <c r="L31" s="1280">
        <f t="shared" si="8"/>
        <v>0</v>
      </c>
      <c r="M31" s="1280">
        <f t="shared" si="8"/>
        <v>0</v>
      </c>
      <c r="N31" s="1279">
        <f t="shared" si="8"/>
        <v>328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183</v>
      </c>
      <c r="AE31" s="1284">
        <f t="shared" si="9"/>
        <v>0</v>
      </c>
      <c r="AF31" s="1285">
        <f t="shared" si="9"/>
        <v>14</v>
      </c>
      <c r="AG31" s="1285">
        <f t="shared" si="9"/>
        <v>0</v>
      </c>
      <c r="AH31" s="1285">
        <f t="shared" si="9"/>
        <v>1254</v>
      </c>
      <c r="AI31" s="1285">
        <f t="shared" si="9"/>
        <v>0</v>
      </c>
      <c r="AJ31" s="1286">
        <f t="shared" si="9"/>
        <v>0</v>
      </c>
      <c r="AK31" s="1286">
        <f t="shared" si="9"/>
        <v>0</v>
      </c>
      <c r="AL31" s="1278">
        <f t="shared" si="9"/>
        <v>319</v>
      </c>
      <c r="AM31" s="1278">
        <f t="shared" si="9"/>
        <v>333</v>
      </c>
      <c r="AN31" s="1278">
        <f t="shared" si="9"/>
        <v>0</v>
      </c>
      <c r="AO31" s="1278">
        <f t="shared" si="9"/>
        <v>0</v>
      </c>
      <c r="AP31" s="1278">
        <f>IF(ISNUMBER(((Datos!L31/Datos!K31)*11)/factor_trimestre),((Datos!L31/Datos!K31)*11)/factor_trimestre," - ")</f>
        <v>5.6354952237305174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0.13020833333333334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164.73089165868879</v>
      </c>
      <c r="AM33" s="1006"/>
      <c r="AN33" s="1006">
        <f>IF(ISNUMBER(STDEV(AN8:AN30)),STDEV(AN8:AN30),"-")</f>
        <v>0</v>
      </c>
      <c r="AO33" s="1012">
        <f>IF(ISNUMBER(STDEV(AO8:AO30)),STDEV(AO8:AO30),"-")</f>
        <v>0</v>
      </c>
      <c r="AP33" s="1065">
        <f>IF(ISNUMBER(STDEV(AP8:AP30)),STDEV(AP8:AP30),"-")</f>
        <v>1.9233550625164739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4o8VfnhKCWsSU0XKjPj7lPbVMPgD1PAhcIdG/lb8pIyzLpkTTEfC0ZiV9SW0WHDdOXOBm6yG1Y1NPhBtReKdQ==" saltValue="7Rg94lRqUGOAjhlRMBd2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CALDAS DE REIS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pX9Qc1Gdi0UfpCxlDwEgvcrBFx2mJH3a2fhHJeyf0SZEGENXIxbX7y10VWK/KE3Y8h8qSqGMz+QB0PwYOLRhA==" saltValue="p6pcIOFONaAJ1lp7yOlUm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CALDAS DE REIS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319</v>
      </c>
      <c r="E12" s="452">
        <f t="shared" si="0"/>
        <v>159.5</v>
      </c>
      <c r="F12" s="451">
        <f>IF(ISNUMBER(Datos!N12),Datos!N12," - ")</f>
        <v>333</v>
      </c>
      <c r="G12" s="452">
        <f t="shared" si="1"/>
        <v>166.5</v>
      </c>
      <c r="H12" s="451">
        <f>IF(ISNUMBER(Datos!O12),Datos!O12," - ")</f>
        <v>456</v>
      </c>
      <c r="I12" s="452">
        <f t="shared" si="2"/>
        <v>228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319</v>
      </c>
      <c r="E14" s="1147">
        <f t="shared" si="0"/>
        <v>106.33333333333333</v>
      </c>
      <c r="F14" s="1146">
        <f>SUBTOTAL(9,F9:F13)</f>
        <v>333</v>
      </c>
      <c r="G14" s="1147">
        <f t="shared" si="1"/>
        <v>111</v>
      </c>
      <c r="H14" s="1146">
        <f>SUBTOTAL(9,H9:H13)</f>
        <v>456</v>
      </c>
      <c r="I14" s="1147">
        <f>IF(ISNUMBER(H14/B14),H14/B14," - ")</f>
        <v>152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185</v>
      </c>
      <c r="E17" s="452">
        <f t="shared" si="3"/>
        <v>92.5</v>
      </c>
      <c r="F17" s="451">
        <f>IF(ISNUMBER(Datos!N17),Datos!N17," - ")</f>
        <v>479</v>
      </c>
      <c r="G17" s="452">
        <f t="shared" si="4"/>
        <v>239.5</v>
      </c>
      <c r="H17" s="451">
        <f>IF(ISNUMBER(Datos!O17),Datos!O17," - ")</f>
        <v>3</v>
      </c>
      <c r="I17" s="452">
        <f t="shared" si="5"/>
        <v>1.5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45</v>
      </c>
      <c r="G18" s="452">
        <f>IF(ISNUMBER(F18/B18),F18/B18," - ")</f>
        <v>45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187</v>
      </c>
      <c r="E23" s="1147">
        <f t="shared" si="3"/>
        <v>62.333333333333336</v>
      </c>
      <c r="F23" s="1146">
        <f>SUBTOTAL(9,F16:F22)</f>
        <v>524</v>
      </c>
      <c r="G23" s="1147">
        <f t="shared" si="4"/>
        <v>174.66666666666666</v>
      </c>
      <c r="H23" s="1146">
        <f>SUBTOTAL(9,H16:H22)</f>
        <v>3</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506</v>
      </c>
      <c r="E31" s="1085">
        <f>IF(ISNUMBER(D31/B31),D31/B31," - ")</f>
        <v>253</v>
      </c>
      <c r="F31" s="1084">
        <f>SUBTOTAL(9,F8:F30)</f>
        <v>857</v>
      </c>
      <c r="G31" s="1085">
        <f>IF(ISNUMBER(F31/B31),F31/B31," - ")</f>
        <v>428.5</v>
      </c>
      <c r="H31" s="1084">
        <f>SUBTOTAL(9,H8:H30)</f>
        <v>459</v>
      </c>
      <c r="I31" s="1085">
        <f>IF(ISNUMBER(H31/B31),H31/B31," - ")</f>
        <v>229.5</v>
      </c>
    </row>
    <row r="34" spans="1:1">
      <c r="A34" s="439" t="str">
        <f>Criterios!A4</f>
        <v>Fecha Informe: 14 abr. 2023</v>
      </c>
    </row>
    <row r="39" spans="1:1">
      <c r="A39" s="462"/>
    </row>
  </sheetData>
  <sheetProtection algorithmName="SHA-512" hashValue="nahWuiaQwfEh3iD7ZHqzX/fWTiGqM8iNdJc8jh4RHv2x6vV6+EqnnInkv2v7CmRa+ryPPEDjheKOrT4d9xltBA==" saltValue="Eo130Xvz5lbSl8oEmo9Y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CALDAS DE REIS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327</v>
      </c>
      <c r="C12" s="489">
        <f>IF(ISNUMBER(Datos!Q12),Datos!Q12," - ")</f>
        <v>183</v>
      </c>
      <c r="D12" s="456">
        <f>IF(ISNUMBER(Datos!R12),Datos!R12," - ")</f>
        <v>1254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328</v>
      </c>
      <c r="C14" s="1150">
        <f>SUBTOTAL(9,C9:C13)</f>
        <v>183</v>
      </c>
      <c r="D14" s="1148">
        <f>SUBTOTAL(9,D9:D13)</f>
        <v>1254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28</v>
      </c>
      <c r="C17" s="489">
        <f>IF(ISNUMBER(Datos!Q17),Datos!Q17," - ")</f>
        <v>24</v>
      </c>
      <c r="D17" s="456">
        <f>IF(ISNUMBER(Datos!R17),Datos!R17," - ")</f>
        <v>47</v>
      </c>
    </row>
    <row r="18" spans="1:4">
      <c r="A18" s="450" t="str">
        <f>Datos!A18</f>
        <v>Jdos. Violencia contra la mujer</v>
      </c>
      <c r="B18" s="488">
        <f>IF(ISNUMBER(Datos!P18),Datos!P18," - ")</f>
        <v>2</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25</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358</v>
      </c>
      <c r="C31" s="1089">
        <f>SUBTOTAL(9,C8:C30)</f>
        <v>208</v>
      </c>
      <c r="D31" s="1090">
        <f>SUBTOTAL(9,D8:D30)</f>
        <v>1302</v>
      </c>
    </row>
    <row r="32" spans="1:4" ht="7.5" customHeight="1"/>
    <row r="33" spans="1:1" ht="6" customHeight="1"/>
    <row r="34" spans="1:1">
      <c r="A34" s="439" t="str">
        <f>Criterios!A4</f>
        <v>Fecha Informe: 14 abr. 2023</v>
      </c>
    </row>
    <row r="39" spans="1:1">
      <c r="A39" s="462"/>
    </row>
  </sheetData>
  <sheetProtection algorithmName="SHA-512" hashValue="sZR4Ejvi1mMQbAg8InjAt4vemizoTTPJsooHmYSJjpBZBGOlP0kFXsPXC6Aq25D8qmQZe/VumVkahmrkaBgjhQ==" saltValue="2Ul7WYb8OZZRrMbyhSBF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CALDAS DE REIS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-0.625</v>
      </c>
      <c r="C10" s="515">
        <f>IF(ISNUMBER((Datos!J10-Datos!T10)/Datos!T10),(Datos!J10-Datos!T10)/Datos!T10," - ")</f>
        <v>0.83333333333333337</v>
      </c>
      <c r="D10" s="515">
        <f>IF(ISNUMBER((Datos!K10-Datos!U10)/Datos!U10),(Datos!K10-Datos!U10)/Datos!U10," - ")</f>
        <v>-1</v>
      </c>
      <c r="E10" s="515">
        <f>IF(ISNUMBER((Datos!L10-Datos!V10)/Datos!V10),(Datos!L10-Datos!V10)/Datos!V10," - ")</f>
        <v>1.3333333333333333</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-0.36354581673306774</v>
      </c>
      <c r="C12" s="515">
        <f>IF(ISNUMBER(
   IF(J_V="SI",(Datos!J12-Datos!T12)/Datos!T12,(Datos!J12+Datos!Z12-(Datos!T12+Datos!AH12))/(Datos!T12+Datos!AH12))
     ),IF(J_V="SI",(Datos!J12-Datos!T12)/Datos!T12,(Datos!J12+Datos!Z12-(Datos!T12+Datos!AH12))/(Datos!T12+Datos!AH12))," - ")</f>
        <v>-4.8742138364779877E-2</v>
      </c>
      <c r="D12" s="515">
        <f>IF(ISNUMBER(
   IF(J_V="SI",(Datos!K12-Datos!U12)/Datos!U12,(Datos!K12+Datos!AA12-(Datos!U12+Datos!AI12))/(Datos!U12+Datos!AI12))
     ),IF(J_V="SI",(Datos!K12-Datos!U12)/Datos!U12,(Datos!K12+Datos!AA12-(Datos!U12+Datos!AI12))/(Datos!U12+Datos!AI12))," - ")</f>
        <v>-0.31215638362858888</v>
      </c>
      <c r="E12" s="515">
        <f>IF(ISNUMBER(
   IF(J_V="SI",(Datos!L12-Datos!V12)/Datos!V12,(Datos!L12+Datos!AB12-(Datos!V12+Datos!AJ12))/(Datos!V12+Datos!AJ12))
     ),IF(J_V="SI",(Datos!L12-Datos!V12)/Datos!V12,(Datos!L12+Datos!AB12-(Datos!V12+Datos!AJ12))/(Datos!V12+Datos!AJ12))," - ")</f>
        <v>8.9201877934272297E-2</v>
      </c>
      <c r="F12" s="515">
        <f>IF(ISNUMBER((Datos!M12-Datos!W12)/Datos!W12),(Datos!M12-Datos!W12)/Datos!W12," - ")</f>
        <v>-0.16710182767624021</v>
      </c>
      <c r="G12" s="516">
        <f>IF(ISNUMBER((Datos!N12-Datos!X12)/Datos!X12),(Datos!N12-Datos!X12)/Datos!X12," - ")</f>
        <v>-0.39010989010989011</v>
      </c>
      <c r="H12" s="514">
        <f>IF(ISNUMBER(((NºAsuntos!G12/NºAsuntos!E12)-Datos!BD12)/Datos!BD12),((NºAsuntos!G12/NºAsuntos!E12)-Datos!BD12)/Datos!BD12," - ")</f>
        <v>-0.27691150411203724</v>
      </c>
      <c r="I12" s="515">
        <f>IF(ISNUMBER(((NºAsuntos!I12/NºAsuntos!G12)-Datos!BE12)/Datos!BE12),((NºAsuntos!I12/NºAsuntos!G12)-Datos!BE12)/Datos!BE12," - ")</f>
        <v>0.58350219731652186</v>
      </c>
      <c r="J12" s="521">
        <f>IF(ISNUMBER((('Resol  Asuntos'!D12/NºAsuntos!G12)-Datos!BF12)/Datos!BF12),(('Resol  Asuntos'!D12/NºAsuntos!G12)-Datos!BF12)/Datos!BF12," - ")</f>
        <v>-0.15060768124711282</v>
      </c>
      <c r="K12" s="522">
        <f>IF(ISNUMBER((((NºAsuntos!C12+NºAsuntos!E12)/NºAsuntos!G12)-Datos!BG12)/Datos!BG12),(((NºAsuntos!C12+NºAsuntos!E12)/NºAsuntos!G12)-Datos!BG12)/Datos!BG12," - ")</f>
        <v>0.18106810739604248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-0.36764705882352944</v>
      </c>
      <c r="C14" s="1152">
        <f>IF(ISNUMBER(
   IF(J_V="SI",(Datos!J14-Datos!T14)/Datos!T14,(Datos!J14+Datos!Z14-(Datos!T14+Datos!AH14))/(Datos!T14+Datos!AH14))
     ),IF(J_V="SI",(Datos!J14-Datos!T14)/Datos!T14,(Datos!J14+Datos!Z14-(Datos!T14+Datos!AH14))/(Datos!T14+Datos!AH14))," - ")</f>
        <v>-4.4600938967136149E-2</v>
      </c>
      <c r="D14" s="1152">
        <f>IF(ISNUMBER(
   IF(J_V="SI",(Datos!K14-Datos!U14)/Datos!U14,(Datos!K14+Datos!AA14-(Datos!U14+Datos!AI14))/(Datos!U14+Datos!AI14))
     ),IF(J_V="SI",(Datos!K14-Datos!U14)/Datos!U14,(Datos!K14+Datos!AA14-(Datos!U14+Datos!AI14))/(Datos!U14+Datos!AI14))," - ")</f>
        <v>-0.31881427707199034</v>
      </c>
      <c r="E14" s="1152">
        <f>IF(ISNUMBER(
   IF(J_V="SI",(Datos!L14-Datos!V14)/Datos!V14,(Datos!L14+Datos!AB14-(Datos!V14+Datos!AJ14))/(Datos!V14+Datos!AJ14))
     ),IF(J_V="SI",(Datos!L14-Datos!V14)/Datos!V14,(Datos!L14+Datos!AB14-(Datos!V14+Datos!AJ14))/(Datos!V14+Datos!AJ14))," - ")</f>
        <v>0.10077519379844961</v>
      </c>
      <c r="F14" s="1153">
        <f>IF(ISNUMBER((Datos!M14-Datos!W14)/Datos!W14),(Datos!M14-Datos!W14)/Datos!W14," - ")</f>
        <v>-0.16927083333333334</v>
      </c>
      <c r="G14" s="1154">
        <f>IF(ISNUMBER((Datos!N14-Datos!X14)/Datos!X14),(Datos!N14-Datos!X14)/Datos!X14," - ")</f>
        <v>-0.39454545454545453</v>
      </c>
      <c r="H14" s="1154">
        <f>IF(ISNUMBER(((NºAsuntos!G14/NºAsuntos!E14)-Datos!BD14)/Datos!BD14),((NºAsuntos!G14/NºAsuntos!E14)-Datos!BD14)/Datos!BD14," - ")</f>
        <v>-0.28701445216871713</v>
      </c>
      <c r="I14" s="1154">
        <f>IF(ISNUMBER(((NºAsuntos!I14/NºAsuntos!G14)-Datos!BE14)/Datos!BE14),((NºAsuntos!I14/NºAsuntos!G14)-Datos!BE14)/Datos!BE14," - ")</f>
        <v>0.61596926762774173</v>
      </c>
      <c r="J14" s="1154">
        <f>IF(ISNUMBER((('Resol  Asuntos'!D14/NºAsuntos!G14)-Datos!BF14)/Datos!BF14),(('Resol  Asuntos'!D14/NºAsuntos!G14)-Datos!BF14)/Datos!BF14," - ")</f>
        <v>-0.14387373725893859</v>
      </c>
      <c r="K14" s="1154">
        <f>IF(ISNUMBER((((NºAsuntos!C14+NºAsuntos!E14)/NºAsuntos!G14)-Datos!BG14)/Datos!BG14),(((NºAsuntos!C14+NºAsuntos!E14)/NºAsuntos!G14)-Datos!BG14)/Datos!BG14," - ")</f>
        <v>0.19205440826604961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-0.49469964664310956</v>
      </c>
      <c r="C17" s="515">
        <f>IF(ISNUMBER(
   IF(D_I="SI",(Datos!J17-Datos!T17)/Datos!T17,(Datos!J17+Datos!AD17-(Datos!T17+Datos!AL17))/(Datos!T17+Datos!AL17))
     ),IF(D_I="SI",(Datos!J17-Datos!T17)/Datos!T17,(Datos!J17+Datos!AD17-(Datos!T17+Datos!AL17))/(Datos!T17+Datos!AL17))," - ")</f>
        <v>8.7701612903225812E-2</v>
      </c>
      <c r="D17" s="515">
        <f>IF(ISNUMBER(
   IF(D_I="SI",(Datos!K17-Datos!U17)/Datos!U17,(Datos!K17+Datos!AE17-(Datos!U17+Datos!AM17))/(Datos!U17+Datos!AM17))
     ),IF(D_I="SI",(Datos!K17-Datos!U17)/Datos!U17,(Datos!K17+Datos!AE17-(Datos!U17+Datos!AM17))/(Datos!U17+Datos!AM17))," - ")</f>
        <v>-0.27364341085271315</v>
      </c>
      <c r="E17" s="515">
        <f>IF(ISNUMBER(
   IF(D_I="SI",(Datos!L17-Datos!V17)/Datos!V17,(Datos!L17+Datos!AF17-(Datos!V17+Datos!AN17))/(Datos!V17+Datos!AN17))
     ),IF(D_I="SI",(Datos!L17-Datos!V17)/Datos!V17,(Datos!L17+Datos!AF17-(Datos!V17+Datos!AN17))/(Datos!V17+Datos!AN17))," - ")</f>
        <v>8.7412587412587409E-2</v>
      </c>
      <c r="F17" s="515">
        <f>IF(ISNUMBER((Datos!M17-Datos!W17)/Datos!W17),(Datos!M17-Datos!W17)/Datos!W17," - ")</f>
        <v>-0.10194174757281553</v>
      </c>
      <c r="G17" s="516">
        <f>IF(ISNUMBER((Datos!N17-Datos!X17)/Datos!X17),(Datos!N17-Datos!X17)/Datos!X17," - ")</f>
        <v>-0.3137535816618911</v>
      </c>
      <c r="H17" s="514">
        <f>IF(ISNUMBER(((NºAsuntos!G17/NºAsuntos!E17)-Datos!BD17)/Datos!BD17),((NºAsuntos!G17/NºAsuntos!E17)-Datos!BD17)/Datos!BD17," - ")</f>
        <v>-0.33220969746607176</v>
      </c>
      <c r="I17" s="515">
        <f>IF(ISNUMBER(((NºAsuntos!I17/NºAsuntos!G17)-Datos!BE17)/Datos!BE17),((NºAsuntos!I17/NºAsuntos!G17)-Datos!BE17)/Datos!BE17," - ")</f>
        <v>0.49707816196610205</v>
      </c>
      <c r="J17" s="521">
        <f>IF(ISNUMBER((('Resol  Asuntos'!D17/NºAsuntos!G17)-Datos!BF17)/Datos!BF17),(('Resol  Asuntos'!D17/NºAsuntos!G17)-Datos!BF17)/Datos!BF17," - ")</f>
        <v>0.23638756203956018</v>
      </c>
      <c r="K17" s="522">
        <f>IF(ISNUMBER((((NºAsuntos!C17+NºAsuntos!E17)/NºAsuntos!G17)-Datos!BG17)/Datos!BG17),(((NºAsuntos!C17+NºAsuntos!E17)/NºAsuntos!G17)-Datos!BG17)/Datos!BG17," - ")</f>
        <v>0.20618887197690713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-0.38636363636363635</v>
      </c>
      <c r="C18" s="515">
        <f>IF(ISNUMBER(
   IF(D_I="SI",(Datos!J18-Datos!T18)/Datos!T18,(Datos!J18+Datos!AD18-(Datos!T18+Datos!AL18))/(Datos!T18+Datos!AL18))
     ),IF(D_I="SI",(Datos!J18-Datos!T18)/Datos!T18,(Datos!J18+Datos!AD18-(Datos!T18+Datos!AL18))/(Datos!T18+Datos!AL18))," - ")</f>
        <v>-0.41584158415841582</v>
      </c>
      <c r="D18" s="515">
        <f>IF(ISNUMBER(
   IF(D_I="SI",(Datos!K18-Datos!U18)/Datos!U18,(Datos!K18+Datos!AE18-(Datos!U18+Datos!AM18))/(Datos!U18+Datos!AM18))
     ),IF(D_I="SI",(Datos!K18-Datos!U18)/Datos!U18,(Datos!K18+Datos!AE18-(Datos!U18+Datos!AM18))/(Datos!U18+Datos!AM18))," - ")</f>
        <v>-0.57627118644067798</v>
      </c>
      <c r="E18" s="515">
        <f>IF(ISNUMBER(
   IF(D_I="SI",(Datos!L18-Datos!V18)/Datos!V18,(Datos!L18+Datos!AF18-(Datos!V18+Datos!AN18))/(Datos!V18+Datos!AN18))
     ),IF(D_I="SI",(Datos!L18-Datos!V18)/Datos!V18,(Datos!L18+Datos!AF18-(Datos!V18+Datos!AN18))/(Datos!V18+Datos!AN18))," - ")</f>
        <v>0.18518518518518517</v>
      </c>
      <c r="F18" s="515">
        <f>IF(ISNUMBER((Datos!M18-Datos!W18)/Datos!W18),(Datos!M18-Datos!W18)/Datos!W18," - ")</f>
        <v>-0.75</v>
      </c>
      <c r="G18" s="516">
        <f>IF(ISNUMBER((Datos!N18-Datos!X18)/Datos!X18),(Datos!N18-Datos!X18)/Datos!X18," - ")</f>
        <v>-0.4375</v>
      </c>
      <c r="H18" s="514">
        <f>IF(ISNUMBER(((NºAsuntos!G18/NºAsuntos!E18)-Datos!BD18)/Datos!BD18),((NºAsuntos!G18/NºAsuntos!E18)-Datos!BD18)/Datos!BD18," - ")</f>
        <v>-0.27463372594082158</v>
      </c>
      <c r="I18" s="515">
        <f>IF(ISNUMBER(((NºAsuntos!I18/NºAsuntos!G18)-Datos!BE18)/Datos!BE18),((NºAsuntos!I18/NºAsuntos!G18)-Datos!BE18)/Datos!BE18," - ")</f>
        <v>1.797037037037037</v>
      </c>
      <c r="J18" s="521">
        <f>IF(ISNUMBER((('Resol  Asuntos'!D18/NºAsuntos!G18)-Datos!BF18)/Datos!BF18),(('Resol  Asuntos'!D18/NºAsuntos!G18)-Datos!BF18)/Datos!BF18," - ")</f>
        <v>-0.41</v>
      </c>
      <c r="K18" s="522">
        <f>IF(ISNUMBER((((NºAsuntos!C18+NºAsuntos!E18)/NºAsuntos!G18)-Datos!BG18)/Datos!BG18),(((NºAsuntos!C18+NºAsuntos!E18)/NºAsuntos!G18)-Datos!BG18)/Datos!BG18," - ")</f>
        <v>0.3997241379310344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-0.48688524590163934</v>
      </c>
      <c r="C23" s="1152">
        <f>IF(ISNUMBER(
   IF(Criterios!B14="SI",(Datos!J23-Datos!T23)/Datos!T23,(Datos!J23+Datos!AD23-(Datos!T23+Datos!AL23))/(Datos!T23+Datos!AL23))
     ),IF(Criterios!B14="SI",(Datos!J23-Datos!T23)/Datos!T23,(Datos!J23+Datos!AD23-(Datos!T23+Datos!AL23))/(Datos!T23+Datos!AL23))," - ")</f>
        <v>4.1171088746569079E-2</v>
      </c>
      <c r="D23" s="1152">
        <f>IF(ISNUMBER(
   IF(Criterios!B14="SI",(Datos!K23-Datos!U23)/Datos!U23,(Datos!K23+Datos!AE23-(Datos!U23+Datos!AM23))/(Datos!U23+Datos!AM23))
     ),IF(Criterios!B14="SI",(Datos!K23-Datos!U23)/Datos!U23,(Datos!K23+Datos!AE23-(Datos!U23+Datos!AM23))/(Datos!U23+Datos!AM23))," - ")</f>
        <v>-0.29900568181818182</v>
      </c>
      <c r="E23" s="1152">
        <f>IF(ISNUMBER(
   IF(Criterios!B14="SI",(Datos!L23-Datos!V23)/Datos!V23,(Datos!L23+Datos!AF23-(Datos!V23+Datos!AN23))/(Datos!V23+Datos!AN23))
     ),IF(Criterios!B14="SI",(Datos!L23-Datos!V23)/Datos!V23,(Datos!L23+Datos!AF23-(Datos!V23+Datos!AN23))/(Datos!V23+Datos!AN23))," - ")</f>
        <v>9.5846645367412137E-2</v>
      </c>
      <c r="F23" s="1153">
        <f>IF(ISNUMBER((Datos!M23-Datos!W23)/Datos!W23),(Datos!M23-Datos!W23)/Datos!W23," - ")</f>
        <v>-0.12616822429906541</v>
      </c>
      <c r="G23" s="1154">
        <f>IF(ISNUMBER((Datos!N23-Datos!X23)/Datos!X23),(Datos!N23-Datos!X23)/Datos!X23," - ")</f>
        <v>-0.32647814910025708</v>
      </c>
      <c r="H23" s="1154">
        <f>IF(ISNUMBER(((NºAsuntos!G23/NºAsuntos!E23)-Datos!BD23)/Datos!BD23),((NºAsuntos!G23/NºAsuntos!E23)-Datos!BD23)/Datos!BD23," - ")</f>
        <v>-0.32672514079725196</v>
      </c>
      <c r="I23" s="1154">
        <f>IF(ISNUMBER(((NºAsuntos!I23/NºAsuntos!G23)-Datos!BE23)/Datos!BE23),((NºAsuntos!I23/NºAsuntos!G23)-Datos!BE23)/Datos!BE23," - ")</f>
        <v>0.56327464708947961</v>
      </c>
      <c r="J23" s="1154">
        <f>IF(ISNUMBER((('Resol  Asuntos'!D23/NºAsuntos!G23)-Datos!BF23)/Datos!BF23),(('Resol  Asuntos'!D23/NºAsuntos!G23)-Datos!BF23)/Datos!BF23," - ")</f>
        <v>0.24656042572129283</v>
      </c>
      <c r="K23" s="1154">
        <f>IF(ISNUMBER((((NºAsuntos!C23+NºAsuntos!E23)/NºAsuntos!G23)-Datos!BG23)/Datos!BG23),(((NºAsuntos!C23+NºAsuntos!E23)/NºAsuntos!G23)-Datos!BG23)/Datos!BG23," - ")</f>
        <v>0.21545327067496953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-0.41226993865030676</v>
      </c>
      <c r="C31" s="1092">
        <f>IF(ISNUMBER(
   IF(J_V="SI",(Datos!J31-Datos!T31)/Datos!T31,(Datos!J31+Datos!Z31-(Datos!T31+Datos!AH31))/(Datos!T31+Datos!AH31))
     ),IF(J_V="SI",(Datos!J31-Datos!T31)/Datos!T31,(Datos!J31+Datos!Z31-(Datos!T31+Datos!AH31))/(Datos!T31+Datos!AH31))," - ")</f>
        <v>-5.0611556305356388E-3</v>
      </c>
      <c r="D31" s="1092">
        <f>IF(ISNUMBER(
   IF(J_V="SI",(Datos!K31-Datos!U31)/Datos!U31,(Datos!K31+Datos!AA31-(Datos!U31+Datos!AI31))/(Datos!U31+Datos!AI31))
     ),IF(J_V="SI",(Datos!K31-Datos!U31)/Datos!U31,(Datos!K31+Datos!AA31-(Datos!U31+Datos!AI31))/(Datos!U31+Datos!AI31))," - ")</f>
        <v>-0.30970271153217904</v>
      </c>
      <c r="E31" s="1092">
        <f>IF(ISNUMBER(
   IF(J_V="SI",(Datos!L31-Datos!V31)/Datos!V31,(Datos!L31+Datos!AB31-(Datos!V31+Datos!AJ31))/(Datos!V31+Datos!AJ31))
     ),IF(J_V="SI",(Datos!L31-Datos!V31)/Datos!V31,(Datos!L31+Datos!AB31-(Datos!V31+Datos!AJ31))/(Datos!V31+Datos!AJ31))," - ")</f>
        <v>9.916492693110647E-2</v>
      </c>
      <c r="F31" s="1093">
        <f>IF(ISNUMBER((Datos!M31-Datos!W31)/Datos!W31),(Datos!M31-Datos!W31)/Datos!W31," - ")</f>
        <v>-0.15384615384615385</v>
      </c>
      <c r="G31" s="1094">
        <f>IF(ISNUMBER((Datos!N31-Datos!X31)/Datos!X31),(Datos!N31-Datos!X31)/Datos!X31," - ")</f>
        <v>-0.35466867469879521</v>
      </c>
      <c r="H31" s="1095">
        <f>IF(ISNUMBER((Tasas!B31-Datos!BD31)/Datos!BD31),(Tasas!B31-Datos!BD31)/Datos!BD31," - ")</f>
        <v>-0.30619123740686593</v>
      </c>
      <c r="I31" s="1096">
        <f>IF(ISNUMBER((Tasas!C31-Datos!BE31)/Datos!BE31),(Tasas!C31-Datos!BE31)/Datos!BE31," - ")</f>
        <v>0.59230659788741913</v>
      </c>
      <c r="J31" s="1097">
        <f>IF(ISNUMBER((Tasas!D31-Datos!BF31)/Datos!BF31),(Tasas!D31-Datos!BF31)/Datos!BF31," - ")</f>
        <v>-3.6770682459438604E-2</v>
      </c>
      <c r="K31" s="1097">
        <f>IF(ISNUMBER((Tasas!E31-Datos!BG31)/Datos!BG31),(Tasas!E31-Datos!BG31)/Datos!BG31," - ")</f>
        <v>0.20099376481009903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NWoTAVbSCKdo84/+CXBPAHPXjV2bSyImpeUIQaccfB3K1jYHdAxNKA3jTpiRG8UgV48J8LZz/kkbkr7IggfOA==" saltValue="VUpZOi2e2tcWsPVFE3ne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CALDAS DE REIS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0.9305785123966942</v>
      </c>
      <c r="C12" s="498">
        <f>IF(ISNUMBER(NºAsuntos!I12/NºAsuntos!G12),NºAsuntos!I12/NºAsuntos!G12," - ")</f>
        <v>0.61811722912966249</v>
      </c>
      <c r="D12" s="499">
        <f>IF(ISNUMBER('Resol  Asuntos'!D12/NºAsuntos!G12),'Resol  Asuntos'!D12/NºAsuntos!G12," - ")</f>
        <v>0.28330373001776199</v>
      </c>
      <c r="E12" s="500">
        <f>IF(ISNUMBER((NºAsuntos!C12+NºAsuntos!E12)/NºAsuntos!G12),(NºAsuntos!C12+NºAsuntos!E12)/NºAsuntos!G12," - ")</f>
        <v>1.6420959147424512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0.92219492219492216</v>
      </c>
      <c r="C14" s="1156">
        <f>IF(ISNUMBER(NºAsuntos!I14/NºAsuntos!G14),NºAsuntos!I14/NºAsuntos!G14," - ")</f>
        <v>0.63055062166962694</v>
      </c>
      <c r="D14" s="1157">
        <f>IF(ISNUMBER('Resol  Asuntos'!D14/NºAsuntos!G14),'Resol  Asuntos'!D14/NºAsuntos!G14," - ")</f>
        <v>0.28330373001776199</v>
      </c>
      <c r="E14" s="1158">
        <f>IF(ISNUMBER((NºAsuntos!C14+NºAsuntos!E14)/NºAsuntos!G14),(NºAsuntos!C14+NºAsuntos!E14)/NºAsuntos!G14," - ")</f>
        <v>1.6571936056838366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0.86839666357738643</v>
      </c>
      <c r="C17" s="498">
        <f>IF(ISNUMBER(NºAsuntos!I17/NºAsuntos!G17),NºAsuntos!I17/NºAsuntos!G17," - ")</f>
        <v>0.33191035218783349</v>
      </c>
      <c r="D17" s="499">
        <f>IF(ISNUMBER('Resol  Asuntos'!D17/NºAsuntos!G17),'Resol  Asuntos'!D17/NºAsuntos!G17," - ")</f>
        <v>0.19743863393810032</v>
      </c>
      <c r="E17" s="500">
        <f>IF(ISNUMBER((NºAsuntos!C17+NºAsuntos!E17)/NºAsuntos!G17),(NºAsuntos!C17+NºAsuntos!E17)/NºAsuntos!G17," - ")</f>
        <v>1.4567769477054429</v>
      </c>
      <c r="G17" s="523"/>
    </row>
    <row r="18" spans="1:7">
      <c r="A18" s="450" t="str">
        <f>Datos!A18</f>
        <v>Jdos. Violencia contra la mujer</v>
      </c>
      <c r="B18" s="497">
        <f>IF(ISNUMBER(NºAsuntos!G18/NºAsuntos!E18),NºAsuntos!G18/NºAsuntos!E18," - ")</f>
        <v>0.84745762711864403</v>
      </c>
      <c r="C18" s="498">
        <f>IF(ISNUMBER(NºAsuntos!I18/NºAsuntos!G18),NºAsuntos!I18/NºAsuntos!G18," - ")</f>
        <v>0.64</v>
      </c>
      <c r="D18" s="499">
        <f>IF(ISNUMBER('Resol  Asuntos'!D18/NºAsuntos!G18),'Resol  Asuntos'!D18/NºAsuntos!G18," - ")</f>
        <v>0.04</v>
      </c>
      <c r="E18" s="500">
        <f>IF(ISNUMBER((NºAsuntos!C18+NºAsuntos!E18)/NºAsuntos!G18),(NºAsuntos!C18+NºAsuntos!E18)/NºAsuntos!G18," - ")</f>
        <v>1.72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0.86731107205623903</v>
      </c>
      <c r="C23" s="1156">
        <f>IF(ISNUMBER(NºAsuntos!I23/NºAsuntos!G23),NºAsuntos!I23/NºAsuntos!G23," - ")</f>
        <v>0.3475177304964539</v>
      </c>
      <c r="D23" s="1159">
        <f>IF(ISNUMBER('Resol  Asuntos'!D23/NºAsuntos!G23),'Resol  Asuntos'!D23/NºAsuntos!G23," - ")</f>
        <v>0.1894630192502533</v>
      </c>
      <c r="E23" s="1158">
        <f>IF(ISNUMBER((NºAsuntos!C23+NºAsuntos!E23)/NºAsuntos!G23),(NºAsuntos!C23+NºAsuntos!E23)/NºAsuntos!G23," - ")</f>
        <v>1.470111448834853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0.89571852479864345</v>
      </c>
      <c r="C31" s="1099">
        <f>IF(ISNUMBER(NºAsuntos!I31/NºAsuntos!G31),NºAsuntos!I31/NºAsuntos!G31," - ")</f>
        <v>0.49834358731661144</v>
      </c>
      <c r="D31" s="1100">
        <f>IF(ISNUMBER('Resol  Asuntos'!D31/NºAsuntos!G31),'Resol  Asuntos'!D31/NºAsuntos!G31," - ")</f>
        <v>0.23946994794131565</v>
      </c>
      <c r="E31" s="1101">
        <f>IF(ISNUMBER((NºAsuntos!C31+NºAsuntos!E31)/NºAsuntos!G31),(NºAsuntos!C31+NºAsuntos!E31)/NºAsuntos!G31," - ")</f>
        <v>1.5698059630856602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BvUDn4ITO5osL5zpNDldCGGm0ykWtnCWCbs8VPkJ8KwTd6bo23WU1BwRC6IompNiWCFsuzlnEWgtsfXQ6nIOQ==" saltValue="bNFGOR6qazXQSK6X6H5m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CALDAS DE REIS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14</v>
      </c>
      <c r="AB10" s="374">
        <f>IF(ISNUMBER(Datos!R10),Datos!R10," - ")</f>
        <v>0</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183</v>
      </c>
      <c r="Y12" s="374">
        <f t="shared" si="0"/>
        <v>183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319</v>
      </c>
      <c r="AJ12" s="243" t="str">
        <f>IF(ISNUMBER(Datos!BW12),Datos!BW12," - ")</f>
        <v xml:space="preserve"> - </v>
      </c>
      <c r="AK12" s="242" t="str">
        <f>IF(ISNUMBER(Datos!BX12),Datos!BX12," - ")</f>
        <v xml:space="preserve"> - </v>
      </c>
      <c r="AL12" s="266">
        <f>IF(ISNUMBER(NºAsuntos!G12/NºAsuntos!E12),NºAsuntos!G12/NºAsuntos!E12," - ")</f>
        <v>0.9305785123966942</v>
      </c>
      <c r="AM12" s="284">
        <f>IF(ISNUMBER(((NºAsuntos!I12/NºAsuntos!G12)*11)/factor_trimestre),((NºAsuntos!I12/NºAsuntos!G12)*11)/factor_trimestre," - ")</f>
        <v>6.7992895204262878</v>
      </c>
      <c r="AN12" s="267">
        <f>IF(ISNUMBER('Resol  Asuntos'!D12/NºAsuntos!G12),'Resol  Asuntos'!D12/NºAsuntos!G12," - ")</f>
        <v>0.28330373001776199</v>
      </c>
      <c r="AO12" s="268">
        <f>IF(ISNUMBER((NºAsuntos!C12+NºAsuntos!E12)/NºAsuntos!G12),(NºAsuntos!C12+NºAsuntos!E12)/NºAsuntos!G12," - ")</f>
        <v>1.6420959147424512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6</v>
      </c>
      <c r="H14" s="1162">
        <f t="shared" si="5"/>
        <v>0</v>
      </c>
      <c r="I14" s="1164">
        <f t="shared" si="5"/>
        <v>0</v>
      </c>
      <c r="J14" s="1164">
        <f t="shared" si="5"/>
        <v>0</v>
      </c>
      <c r="K14" s="1164">
        <f t="shared" si="5"/>
        <v>0</v>
      </c>
      <c r="L14" s="1164">
        <f t="shared" si="5"/>
        <v>328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183</v>
      </c>
      <c r="Y14" s="1165">
        <f t="shared" si="6"/>
        <v>183</v>
      </c>
      <c r="Z14" s="1165">
        <f t="shared" si="6"/>
        <v>0</v>
      </c>
      <c r="AA14" s="1165">
        <f t="shared" si="6"/>
        <v>14</v>
      </c>
      <c r="AB14" s="1165">
        <f t="shared" si="6"/>
        <v>1254</v>
      </c>
      <c r="AC14" s="1165">
        <f t="shared" si="6"/>
        <v>14</v>
      </c>
      <c r="AD14" s="1165">
        <f t="shared" si="6"/>
        <v>0</v>
      </c>
      <c r="AE14" s="1169">
        <f t="shared" si="6"/>
        <v>0</v>
      </c>
      <c r="AF14" s="1162">
        <f t="shared" si="6"/>
        <v>0</v>
      </c>
      <c r="AG14" s="1170">
        <f t="shared" si="6"/>
        <v>0</v>
      </c>
      <c r="AH14" s="1167">
        <f t="shared" si="6"/>
        <v>0</v>
      </c>
      <c r="AI14" s="1162">
        <f t="shared" si="6"/>
        <v>319</v>
      </c>
      <c r="AJ14" s="1164">
        <f t="shared" si="6"/>
        <v>0</v>
      </c>
      <c r="AK14" s="1167">
        <f>SUBTOTAL(9,AK9:AK13)</f>
        <v>0</v>
      </c>
      <c r="AL14" s="1171">
        <f>IF(ISNUMBER(NºAsuntos!G14/NºAsuntos!E14),NºAsuntos!G14/NºAsuntos!E14," - ")</f>
        <v>0.92219492219492216</v>
      </c>
      <c r="AM14" s="1171">
        <f>IF(ISNUMBER(((NºAsuntos!I14/NºAsuntos!G14)*11)/factor_trimestre),((NºAsuntos!I14/NºAsuntos!G14)*11)/factor_trimestre," - ")</f>
        <v>6.9360568383658965</v>
      </c>
      <c r="AN14" s="1172">
        <f>IF(ISNUMBER('Resol  Asuntos'!D14/NºAsuntos!G14),'Resol  Asuntos'!D14/NºAsuntos!G14," - ")</f>
        <v>0.28330373001776199</v>
      </c>
      <c r="AO14" s="1173">
        <f>IF(ISNUMBER((NºAsuntos!C14+NºAsuntos!E14)/NºAsuntos!G14),(NºAsuntos!C14+NºAsuntos!E14)/NºAsuntos!G14," - ")</f>
        <v>1.6571936056838366</v>
      </c>
      <c r="AP14" s="1174" t="str">
        <f t="shared" si="2"/>
        <v xml:space="preserve"> - </v>
      </c>
      <c r="AQ14" s="1174">
        <f>IF(ISNUMBER((H14-W14+K14)/(F14)),(H14-W14+K14)/(F14)," - ")</f>
        <v>0</v>
      </c>
      <c r="AR14" s="1175">
        <f>IF(ISNUMBER((Datos!P14-Datos!Q14)/(Datos!R14-Datos!P14+Datos!Q14)),(Datos!P14-Datos!Q14)/(Datos!R14-Datos!P14+Datos!Q14)," - ")</f>
        <v>0.13074842200180342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169</v>
      </c>
      <c r="G17" s="373">
        <f>IF(ISNUMBER(IF(D_I="SI",Datos!I17,Datos!I17+Datos!AC17)),IF(D_I="SI",Datos!I17,Datos!I17+Datos!AC17)," - ")</f>
        <v>286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937</v>
      </c>
      <c r="X17" s="240">
        <f>IF(ISNUMBER(Datos!Q17),Datos!Q17," - ")</f>
        <v>24</v>
      </c>
      <c r="Y17" s="374">
        <f t="shared" ref="Y17:Y22" si="9">SUM(W17:X17)</f>
        <v>961</v>
      </c>
      <c r="Z17" s="375" t="str">
        <f>IF(ISNUMBER(Datos!CC17),Datos!CC17," - ")</f>
        <v xml:space="preserve"> - </v>
      </c>
      <c r="AA17" s="372">
        <f>IF(ISNUMBER(IF(D_I="SI",Datos!L17,Datos!L17+Datos!AF17)),IF(D_I="SI",Datos!L17,Datos!L17+Datos!AF17)," - ")</f>
        <v>311</v>
      </c>
      <c r="AB17" s="374">
        <f>IF(ISNUMBER(Datos!R17),Datos!R17," - ")</f>
        <v>47</v>
      </c>
      <c r="AC17" s="374">
        <f t="shared" si="8"/>
        <v>358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185</v>
      </c>
      <c r="AJ17" s="245" t="str">
        <f>IF(ISNUMBER(Datos!BW17),Datos!BW17," - ")</f>
        <v xml:space="preserve"> - </v>
      </c>
      <c r="AK17" s="246" t="str">
        <f>IF(ISNUMBER(Datos!BX17),Datos!BX17," - ")</f>
        <v xml:space="preserve"> - </v>
      </c>
      <c r="AL17" s="266">
        <f>IF(ISNUMBER(NºAsuntos!G17/NºAsuntos!E17),NºAsuntos!G17/NºAsuntos!E17," - ")</f>
        <v>0.86839666357738643</v>
      </c>
      <c r="AM17" s="284">
        <f>IF(ISNUMBER(((NºAsuntos!I17/NºAsuntos!G17)*11)/factor_trimestre),((NºAsuntos!I17/NºAsuntos!G17)*11)/factor_trimestre," - ")</f>
        <v>3.6510138740661686</v>
      </c>
      <c r="AN17" s="267">
        <f>IF(ISNUMBER('Resol  Asuntos'!D17/NºAsuntos!G17),'Resol  Asuntos'!D17/NºAsuntos!G17," - ")</f>
        <v>0.19743863393810032</v>
      </c>
      <c r="AO17" s="268">
        <f>IF(ISNUMBER((NºAsuntos!C17+NºAsuntos!E17)/NºAsuntos!G17),(NºAsuntos!C17+NºAsuntos!E17)/NºAsuntos!G17," - ")</f>
        <v>1.4567769477054429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50</v>
      </c>
      <c r="X18" s="240">
        <f>IF(ISNUMBER(Datos!Q18),Datos!Q18," - ")</f>
        <v>1</v>
      </c>
      <c r="Y18" s="374">
        <f t="shared" si="9"/>
        <v>51</v>
      </c>
      <c r="Z18" s="375" t="str">
        <f>IF(ISNUMBER(Datos!CC18),Datos!CC18," - ")</f>
        <v xml:space="preserve"> - </v>
      </c>
      <c r="AA18" s="372">
        <f>IF(ISNUMBER(Datos!L18),Datos!L18,"-")</f>
        <v>32</v>
      </c>
      <c r="AB18" s="374">
        <f>IF(ISNUMBER(Datos!R18),Datos!R18," - ")</f>
        <v>1</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0.84745762711864403</v>
      </c>
      <c r="AM18" s="284">
        <f>IF(ISNUMBER(((NºAsuntos!I18/NºAsuntos!G18)*11)/factor_trimestre),((NºAsuntos!I18/NºAsuntos!G18)*11)/factor_trimestre," - ")</f>
        <v>7.04</v>
      </c>
      <c r="AN18" s="267">
        <f>IF(ISNUMBER('Resol  Asuntos'!D18/NºAsuntos!G18),'Resol  Asuntos'!D18/NºAsuntos!G18," - ")</f>
        <v>0.04</v>
      </c>
      <c r="AO18" s="268">
        <f>IF(ISNUMBER((NºAsuntos!C18+NºAsuntos!E18)/NºAsuntos!G18),(NºAsuntos!C18+NºAsuntos!E18)/NºAsuntos!G18," - ")</f>
        <v>1.72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169</v>
      </c>
      <c r="G23" s="1163">
        <f>SUBTOTAL(9,G16:G22)</f>
        <v>313</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987</v>
      </c>
      <c r="X23" s="1164">
        <f t="shared" si="14"/>
        <v>25</v>
      </c>
      <c r="Y23" s="1165">
        <f t="shared" si="14"/>
        <v>1012</v>
      </c>
      <c r="Z23" s="1165">
        <f t="shared" si="14"/>
        <v>0</v>
      </c>
      <c r="AA23" s="1165">
        <f t="shared" si="14"/>
        <v>343</v>
      </c>
      <c r="AB23" s="1165">
        <f t="shared" si="14"/>
        <v>48</v>
      </c>
      <c r="AC23" s="1165">
        <f t="shared" si="14"/>
        <v>391</v>
      </c>
      <c r="AD23" s="1165">
        <f t="shared" si="14"/>
        <v>0</v>
      </c>
      <c r="AE23" s="1169">
        <f t="shared" si="14"/>
        <v>0</v>
      </c>
      <c r="AF23" s="1162">
        <f t="shared" si="14"/>
        <v>0</v>
      </c>
      <c r="AG23" s="1170">
        <f t="shared" si="14"/>
        <v>0</v>
      </c>
      <c r="AH23" s="1167">
        <f t="shared" si="14"/>
        <v>0</v>
      </c>
      <c r="AI23" s="1162">
        <f t="shared" si="14"/>
        <v>187</v>
      </c>
      <c r="AJ23" s="1164">
        <f t="shared" si="14"/>
        <v>0</v>
      </c>
      <c r="AK23" s="1167">
        <f t="shared" si="14"/>
        <v>0</v>
      </c>
      <c r="AL23" s="1171">
        <f>IF(ISNUMBER(NºAsuntos!G23/NºAsuntos!E23),NºAsuntos!G23/NºAsuntos!E23," - ")</f>
        <v>0.86731107205623903</v>
      </c>
      <c r="AM23" s="1171">
        <f>IF(ISNUMBER(((NºAsuntos!I23/NºAsuntos!G23)*11)/factor_trimestre),((NºAsuntos!I23/NºAsuntos!G23)*11)/factor_trimestre," - ")</f>
        <v>3.8226950354609928</v>
      </c>
      <c r="AN23" s="1172">
        <f>IF(ISNUMBER('Resol  Asuntos'!D23/NºAsuntos!G23),'Resol  Asuntos'!D23/NºAsuntos!G23," - ")</f>
        <v>0.1894630192502533</v>
      </c>
      <c r="AO23" s="1173">
        <f>IF(ISNUMBER((NºAsuntos!C23+NºAsuntos!E23)/NºAsuntos!G23),(NºAsuntos!C23+NºAsuntos!E23)/NºAsuntos!G23," - ")</f>
        <v>1.470111448834853</v>
      </c>
      <c r="AP23" s="1174" t="str">
        <f t="shared" si="2"/>
        <v xml:space="preserve"> - </v>
      </c>
      <c r="AQ23" s="1174">
        <f>IF(ISNUMBER((H23-W23+K23)/(F23)),(H23-W23+K23)/(F23)," - ")</f>
        <v>-5.8402366863905328</v>
      </c>
      <c r="AR23" s="1175">
        <f>IF(ISNUMBER((Datos!P23-Datos!Q23)/(Datos!R23-Datos!P23+Datos!Q23)),(Datos!P23-Datos!Q23)/(Datos!R23-Datos!P23+Datos!Q23)," - ")</f>
        <v>0.11627906976744186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172</v>
      </c>
      <c r="G31" s="1118">
        <f t="shared" si="20"/>
        <v>319</v>
      </c>
      <c r="H31" s="1117">
        <f t="shared" si="20"/>
        <v>0</v>
      </c>
      <c r="I31" s="1119">
        <f t="shared" si="20"/>
        <v>0</v>
      </c>
      <c r="J31" s="1119">
        <f t="shared" si="20"/>
        <v>0</v>
      </c>
      <c r="K31" s="1180">
        <f t="shared" si="20"/>
        <v>0</v>
      </c>
      <c r="L31" s="1119">
        <f t="shared" si="20"/>
        <v>358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987</v>
      </c>
      <c r="X31" s="1118">
        <f t="shared" si="21"/>
        <v>208</v>
      </c>
      <c r="Y31" s="1125">
        <f t="shared" si="21"/>
        <v>1195</v>
      </c>
      <c r="Z31" s="1125">
        <f t="shared" si="21"/>
        <v>0</v>
      </c>
      <c r="AA31" s="1125">
        <f t="shared" si="21"/>
        <v>357</v>
      </c>
      <c r="AB31" s="1125">
        <f t="shared" si="21"/>
        <v>1302</v>
      </c>
      <c r="AC31" s="1125">
        <f t="shared" si="21"/>
        <v>405</v>
      </c>
      <c r="AD31" s="1125">
        <f t="shared" si="21"/>
        <v>0</v>
      </c>
      <c r="AE31" s="1127">
        <f t="shared" si="21"/>
        <v>0</v>
      </c>
      <c r="AF31" s="1128">
        <f t="shared" si="21"/>
        <v>0</v>
      </c>
      <c r="AG31" s="1129">
        <f t="shared" si="21"/>
        <v>0</v>
      </c>
      <c r="AH31" s="1127">
        <f t="shared" si="21"/>
        <v>0</v>
      </c>
      <c r="AI31" s="1117">
        <f t="shared" si="21"/>
        <v>506</v>
      </c>
      <c r="AJ31" s="1117">
        <f t="shared" si="21"/>
        <v>0</v>
      </c>
      <c r="AK31" s="1127">
        <f t="shared" si="21"/>
        <v>0</v>
      </c>
      <c r="AL31" s="1183">
        <f>IF(ISNUMBER(NºAsuntos!G31/NºAsuntos!E31),NºAsuntos!G31/NºAsuntos!E31," - ")</f>
        <v>0.89571852479864345</v>
      </c>
      <c r="AM31" s="1184">
        <f>IF(ISNUMBER(((NºAsuntos!I31/NºAsuntos!G31)*11)/factor_trimestre),((NºAsuntos!I31/NºAsuntos!G31)*11)/factor_trimestre," - ")</f>
        <v>5.4817794604827261</v>
      </c>
      <c r="AN31" s="1184">
        <f>IF(ISNUMBER('Resol  Asuntos'!D31/NºAsuntos!G31),'Resol  Asuntos'!D31/NºAsuntos!G31," - ")</f>
        <v>0.23946994794131565</v>
      </c>
      <c r="AO31" s="1185">
        <f>IF(ISNUMBER((NºAsuntos!C31+NºAsuntos!E31)/NºAsuntos!G31),(NºAsuntos!C31+NºAsuntos!E31)/NºAsuntos!G31," - ")</f>
        <v>1.5698059630856602</v>
      </c>
      <c r="AP31" s="1186" t="str">
        <f t="shared" si="2"/>
        <v xml:space="preserve"> - </v>
      </c>
      <c r="AQ31" s="1187">
        <f>IF(OR(ISNUMBER(FIND("01",Criterios!A8,1)),ISNUMBER(FIND("02",Criterios!A8,1)),ISNUMBER(FIND("03",Criterios!A8,1)),ISNUMBER(FIND("04",Criterios!A8,1))),(I31-W31+K31)/(F31-K31),(H31-W31+K31)/(F31-K31))</f>
        <v>-5.7383720930232558</v>
      </c>
      <c r="AR31" s="1188">
        <f>IF(ISNUMBER((Datos!P31-Datos!Q31)/(Datos!R31-Datos!P31+Datos!Q31)),(Datos!P31-Datos!Q31)/(Datos!R31-Datos!P31+Datos!Q31)," - ")</f>
        <v>0.13020833333333334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91.142857142857139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86.507032469427969</v>
      </c>
      <c r="G33" s="277">
        <f>IF(ISNUMBER(STDEV(G8:G30)),STDEV(G8:G30),"-")</f>
        <v>142.83840353283679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465.11109783935854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143.77661244345092</v>
      </c>
      <c r="AJ33" s="276">
        <f t="shared" si="25"/>
        <v>0</v>
      </c>
      <c r="AK33" s="278">
        <f t="shared" si="25"/>
        <v>0</v>
      </c>
      <c r="AL33" s="273">
        <f t="shared" si="25"/>
        <v>0.36369035293181223</v>
      </c>
      <c r="AM33" s="274">
        <f t="shared" si="25"/>
        <v>1.7494211456843849</v>
      </c>
      <c r="AN33" s="274">
        <f t="shared" si="25"/>
        <v>9.9483899585485466E-2</v>
      </c>
      <c r="AO33" s="275">
        <f t="shared" si="25"/>
        <v>0.1185829769371021</v>
      </c>
      <c r="AP33" s="317" t="str">
        <f t="shared" si="25"/>
        <v>-</v>
      </c>
      <c r="AQ33" s="318">
        <f t="shared" si="25"/>
        <v>4.129670964681198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wGnYexw/voe428XxoE/bBD34TmuR6YkNwqpJ0m2F/dWNHuHwPvffqcxIzoZlDs7O+r1eKCWW9ut+txIUOReAQ==" saltValue="vJH0YIA/YkxTIDiy58ZS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CALDAS DE REIS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-0.625</v>
      </c>
      <c r="E10" s="393">
        <f>IF(ISNUMBER((Datos!J10-Datos!T10)/Datos!T10),(Datos!J10-Datos!T10)/Datos!T10," - ")</f>
        <v>0.83333333333333337</v>
      </c>
      <c r="F10" s="393">
        <f>IF(ISNUMBER((Datos!K10-Datos!U10)/Datos!U10),(Datos!K10-Datos!U10)/Datos!U10," - ")</f>
        <v>-1</v>
      </c>
      <c r="G10" s="394">
        <f>IF(ISNUMBER((Datos!L10-Datos!V10)/Datos!V10),(Datos!L10-Datos!V10)/Datos!V10," - ")</f>
        <v>1.3333333333333333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-0.16710182767624021</v>
      </c>
      <c r="I12" s="395">
        <f>IF(ISNUMBER((Tasas!C12-Datos!BE12)/Datos!BE12),(Tasas!C12-Datos!BE12)/Datos!BE12," - ")</f>
        <v>0.58350219731652186</v>
      </c>
      <c r="J12" s="394">
        <f>IF(ISNUMBER((Tasas!D12-Datos!BF12)/Datos!BF12),(Tasas!D12-Datos!BF12)/Datos!BF12," - ")</f>
        <v>-0.15060768124711282</v>
      </c>
      <c r="K12" s="396">
        <f>IF(ISNUMBER((Tasas!E12-Datos!BG12)/Datos!BG12),(Tasas!E12-Datos!BG12)/Datos!BG12," - ")</f>
        <v>0.18106810739604248</v>
      </c>
      <c r="M12" t="e">
        <f>IF(Monitorios="SI",Datos!CE12,0)</f>
        <v>#REF!</v>
      </c>
      <c r="N12" t="e">
        <f>IF(Monitorios="SI",Datos!CF12,0)</f>
        <v>#REF!</v>
      </c>
      <c r="O12" t="e">
        <f>IF(Monitorios="SI",Datos!CG12,0)</f>
        <v>#REF!</v>
      </c>
      <c r="P12" t="e">
        <f>IF(Monitorios="SI",Datos!CH12,0)</f>
        <v>#REF!</v>
      </c>
      <c r="Q12">
        <f>IF(J_V="SI",0,Datos!AG12)</f>
        <v>136</v>
      </c>
      <c r="R12">
        <f>IF(J_V="SI",0,Datos!AH12)</f>
        <v>159</v>
      </c>
      <c r="S12">
        <f>IF(J_V="SI",0,Datos!AI12)</f>
        <v>224</v>
      </c>
      <c r="T12">
        <f>IF(J_V="SI",0,Datos!AJ12)</f>
        <v>71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-0.16927083333333334</v>
      </c>
      <c r="I14" s="402">
        <f>IF(ISNUMBER((Tasas!C14-Datos!BE14)/Datos!BE14),(Tasas!C14-Datos!BE14)/Datos!BE14," - ")</f>
        <v>0.61596926762774173</v>
      </c>
      <c r="J14" s="400">
        <f>IF(ISNUMBER((Tasas!D14-Datos!BF14)/Datos!BF14),(Tasas!D14-Datos!BF14)/Datos!BF14," - ")</f>
        <v>-0.14387373725893859</v>
      </c>
      <c r="K14" s="403">
        <f>IF(ISNUMBER((Tasas!E14-Datos!BG14)/Datos!BG14),(Tasas!E14-Datos!BG14)/Datos!BG14," - ")</f>
        <v>0.19205440826604961</v>
      </c>
      <c r="M14" t="e">
        <f>IF(Monitorios="SI",Datos!CE14,0)</f>
        <v>#REF!</v>
      </c>
      <c r="N14" t="e">
        <f>IF(Monitorios="SI",Datos!CF14,0)</f>
        <v>#REF!</v>
      </c>
      <c r="O14" t="e">
        <f>IF(Monitorios="SI",Datos!CG14,0)</f>
        <v>#REF!</v>
      </c>
      <c r="P14" t="e">
        <f>IF(Monitorios="SI",Datos!CH14,0)</f>
        <v>#REF!</v>
      </c>
      <c r="Q14">
        <f>IF(J_V="SI",0,Datos!AG14)</f>
        <v>136</v>
      </c>
      <c r="R14">
        <f>IF(J_V="SI",0,Datos!AH14)</f>
        <v>159</v>
      </c>
      <c r="S14">
        <f>IF(J_V="SI",0,Datos!AI14)</f>
        <v>224</v>
      </c>
      <c r="T14">
        <f>IF(J_V="SI",0,Datos!AJ14)</f>
        <v>71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-0.49469964664310956</v>
      </c>
      <c r="E17" s="393">
        <f>IF(ISNUMBER(
   IF(D_I="SI",(Datos!J17-Datos!T17)/Datos!T17,(Datos!J17+Datos!AD17-(Datos!T17+Datos!AL17))/(Datos!T17+Datos!AL17))
     ),IF(D_I="SI",(Datos!J17-Datos!T17)/Datos!T17,(Datos!J17+Datos!AD17-(Datos!T17+Datos!AL17))/(Datos!T17+Datos!AL17))," - ")</f>
        <v>8.7701612903225812E-2</v>
      </c>
      <c r="F17" s="393">
        <f>IF(ISNUMBER(
   IF(D_I="SI",(Datos!K17-Datos!U17)/Datos!U17,(Datos!K17+Datos!AE17-(Datos!U17+Datos!AM17))/(Datos!U17+Datos!AM17))
     ),IF(D_I="SI",(Datos!K17-Datos!U17)/Datos!U17,(Datos!K17+Datos!AE17-(Datos!U17+Datos!AM17))/(Datos!U17+Datos!AM17))," - ")</f>
        <v>-0.27364341085271315</v>
      </c>
      <c r="G17" s="394">
        <f>IF(ISNUMBER(
   IF(D_I="SI",(Datos!L17-Datos!V17)/Datos!V17,(Datos!L17+Datos!AF17-(Datos!V17+Datos!AN17))/(Datos!V17+Datos!AN17))
     ),IF(D_I="SI",(Datos!L17-Datos!V17)/Datos!V17,(Datos!L17+Datos!AF17-(Datos!V17+Datos!AN17))/(Datos!V17+Datos!AN17))," - ")</f>
        <v>8.7412587412587409E-2</v>
      </c>
      <c r="H17" s="244">
        <f>IF(ISNUMBER((Datos!M17-Datos!W17)/Datos!W17),(Datos!M17-Datos!W17)/Datos!W17," - ")</f>
        <v>-0.10194174757281553</v>
      </c>
      <c r="I17" s="395">
        <f>IF(ISNUMBER((Tasas!C17-Datos!BE17)/Datos!BE17),(Tasas!C17-Datos!BE17)/Datos!BE17," - ")</f>
        <v>0.49707816196610205</v>
      </c>
      <c r="J17" s="394">
        <f>IF(ISNUMBER((Tasas!D17-Datos!BF17)/Datos!BF17),(Tasas!D17-Datos!BF17)/Datos!BF17," - ")</f>
        <v>0.23638756203956018</v>
      </c>
      <c r="K17" s="396">
        <f>IF(ISNUMBER((Tasas!E17-Datos!BG17)/Datos!BG17),(Tasas!E17-Datos!BG17)/Datos!BG17," - ")</f>
        <v>0.20618887197690713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-0.38636363636363635</v>
      </c>
      <c r="E18" s="393">
        <f>IF(ISNUMBER(
   IF(D_I="SI",(Datos!J18-Datos!T18)/Datos!T18,(Datos!J18+Datos!AD18-(Datos!T18+Datos!AL18))/(Datos!T18+Datos!AL18))
     ),IF(D_I="SI",(Datos!J18-Datos!T18)/Datos!T18,(Datos!J18+Datos!AD18-(Datos!T18+Datos!AL18))/(Datos!T18+Datos!AL18))," - ")</f>
        <v>-0.41584158415841582</v>
      </c>
      <c r="F18" s="393">
        <f>IF(ISNUMBER(
   IF(D_I="SI",(Datos!K18-Datos!U18)/Datos!U18,(Datos!K18+Datos!AE18-(Datos!U18+Datos!AM18))/(Datos!U18+Datos!AM18))
     ),IF(D_I="SI",(Datos!K18-Datos!U18)/Datos!U18,(Datos!K18+Datos!AE18-(Datos!U18+Datos!AM18))/(Datos!U18+Datos!AM18))," - ")</f>
        <v>-0.57627118644067798</v>
      </c>
      <c r="G18" s="394">
        <f>IF(ISNUMBER(
   IF(D_I="SI",(Datos!L18-Datos!V18)/Datos!V18,(Datos!L18+Datos!AF18-(Datos!V18+Datos!AN18))/(Datos!V18+Datos!AN18))
     ),IF(D_I="SI",(Datos!L18-Datos!V18)/Datos!V18,(Datos!L18+Datos!AF18-(Datos!V18+Datos!AN18))/(Datos!V18+Datos!AN18))," - ")</f>
        <v>0.18518518518518517</v>
      </c>
      <c r="H18" s="244">
        <f>IF(ISNUMBER((Datos!M18-Datos!W18)/Datos!W18),(Datos!M18-Datos!W18)/Datos!W18," - ")</f>
        <v>-0.75</v>
      </c>
      <c r="I18" s="395">
        <f>IF(ISNUMBER((Tasas!C18-Datos!BE18)/Datos!BE18),(Tasas!C18-Datos!BE18)/Datos!BE18," - ")</f>
        <v>1.797037037037037</v>
      </c>
      <c r="J18" s="394">
        <f>IF(ISNUMBER((Tasas!D18-Datos!BF18)/Datos!BF18),(Tasas!D18-Datos!BF18)/Datos!BF18," - ")</f>
        <v>-0.41</v>
      </c>
      <c r="K18" s="396">
        <f>IF(ISNUMBER((Tasas!E18-Datos!BG18)/Datos!BG18),(Tasas!E18-Datos!BG18)/Datos!BG18," - ")</f>
        <v>0.3997241379310344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-0.48688524590163934</v>
      </c>
      <c r="E23" s="399">
        <f>IF(ISNUMBER(
   IF(D_I="SI",(Datos!J23-Datos!T23)/Datos!T23,(Datos!J23+Datos!AD23-(Datos!T23+Datos!AL23))/(Datos!T23+Datos!AL23))
     ),IF(D_I="SI",(Datos!J23-Datos!T23)/Datos!T23,(Datos!J23+Datos!AD23-(Datos!T23+Datos!AL23))/(Datos!T23+Datos!AL23))," - ")</f>
        <v>4.1171088746569079E-2</v>
      </c>
      <c r="F23" s="399">
        <f>IF(ISNUMBER(
   IF(D_I="SI",(Datos!K23-Datos!U23)/Datos!U23,(Datos!K23+Datos!AE23-(Datos!U23+Datos!AM23))/(Datos!U23+Datos!AM23))
     ),IF(D_I="SI",(Datos!K23-Datos!U23)/Datos!U23,(Datos!K23+Datos!AE23-(Datos!U23+Datos!AM23))/(Datos!U23+Datos!AM23))," - ")</f>
        <v>-0.29900568181818182</v>
      </c>
      <c r="G23" s="400">
        <f>IF(ISNUMBER(
   IF(D_I="SI",(Datos!L23-Datos!V23)/Datos!V23,(Datos!L23+Datos!AF23-(Datos!V23+Datos!AN23))/(Datos!V23+Datos!AN23))
     ),IF(D_I="SI",(Datos!L23-Datos!V23)/Datos!V23,(Datos!L23+Datos!AF23-(Datos!V23+Datos!AN23))/(Datos!V23+Datos!AN23))," - ")</f>
        <v>9.5846645367412137E-2</v>
      </c>
      <c r="H23" s="401">
        <f>IF(ISNUMBER((Datos!M23-Datos!W23)/Datos!W23),(Datos!M23-Datos!W23)/Datos!W23," - ")</f>
        <v>-0.12616822429906541</v>
      </c>
      <c r="I23" s="402">
        <f>IF(ISNUMBER((Tasas!C23-Datos!BE23)/Datos!BE23),(Tasas!C23-Datos!BE23)/Datos!BE23," - ")</f>
        <v>0.56327464708947961</v>
      </c>
      <c r="J23" s="400">
        <f>IF(ISNUMBER((Tasas!D23-Datos!BF23)/Datos!BF23),(Tasas!D23-Datos!BF23)/Datos!BF23," - ")</f>
        <v>0.24656042572129283</v>
      </c>
      <c r="K23" s="403">
        <f>IF(ISNUMBER((Tasas!E23-Datos!BG23)/Datos!BG23),(Tasas!E23-Datos!BG23)/Datos!BG23," - ")</f>
        <v>0.21545327067496953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-0.41226993865030676</v>
      </c>
      <c r="E31" s="409">
        <f>IF(ISNUMBER(
   IF(J_V="SI",(Datos!J31-Datos!T31)/Datos!T31,(Datos!J31+Datos!Z31-(Datos!T31+Datos!AH31))/(Datos!T31+Datos!AH31))
     ),IF(J_V="SI",(Datos!J31-Datos!T31)/Datos!T31,(Datos!J31+Datos!Z31-(Datos!T31+Datos!AH31))/(Datos!T31+Datos!AH31))," - ")</f>
        <v>-5.0611556305356388E-3</v>
      </c>
      <c r="F31" s="409">
        <f>IF(ISNUMBER(
   IF(J_V="SI",(Datos!K31-Datos!U31)/Datos!U31,(Datos!K31+Datos!AA31-(Datos!U31+Datos!AI31))/(Datos!U31+Datos!AI31))
     ),IF(J_V="SI",(Datos!K31-Datos!U31)/Datos!U31,(Datos!K31+Datos!AA31-(Datos!U31+Datos!AI31))/(Datos!U31+Datos!AI31))," - ")</f>
        <v>-0.30970271153217904</v>
      </c>
      <c r="G31" s="410">
        <f>IF(ISNUMBER(
   IF(J_V="SI",(Datos!L31-Datos!V31)/Datos!V31,(Datos!L31+Datos!AB31-(Datos!V31+Datos!AJ31))/(Datos!V31+Datos!AJ31))
     ),IF(J_V="SI",(Datos!L31-Datos!V31)/Datos!V31,(Datos!L31+Datos!AB31-(Datos!V31+Datos!AJ31))/(Datos!V31+Datos!AJ31))," - ")</f>
        <v>9.916492693110647E-2</v>
      </c>
      <c r="H31" s="411">
        <f>IF(ISNUMBER((Datos!M31-Datos!W31)/Datos!W31),(Datos!M31-Datos!W31)/Datos!W31," - ")</f>
        <v>-0.15384615384615385</v>
      </c>
      <c r="I31" s="408">
        <f>IF(ISNUMBER((Tasas!C31-Datos!BE31)/Datos!BE31),(Tasas!C31-Datos!BE31)/Datos!BE31," - ")</f>
        <v>0.59230659788741913</v>
      </c>
      <c r="J31" s="409">
        <f>IF(ISNUMBER((Tasas!D31-Datos!BF31)/Datos!BF31),(Tasas!D31-Datos!BF31)/Datos!BF31," - ")</f>
        <v>-3.6770682459438604E-2</v>
      </c>
      <c r="K31" s="410">
        <f>IF(ISNUMBER((Tasas!E31-Datos!BG31)/Datos!BG31),(Tasas!E31-Datos!BG31)/Datos!BG31," - ")</f>
        <v>0.20099376481009903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9.7853432660153269E-2</v>
      </c>
      <c r="E33" s="303">
        <f t="shared" si="1"/>
        <v>0.51708373620171777</v>
      </c>
      <c r="F33" s="303">
        <f t="shared" si="1"/>
        <v>0.3375939389711497</v>
      </c>
      <c r="G33" s="304">
        <f t="shared" si="1"/>
        <v>0.60687368036314848</v>
      </c>
      <c r="H33" s="310">
        <f t="shared" si="1"/>
        <v>0.38796422521484331</v>
      </c>
      <c r="I33" s="302">
        <f t="shared" si="1"/>
        <v>0.55271497021017024</v>
      </c>
      <c r="J33" s="303">
        <f t="shared" si="1"/>
        <v>0.28210726539510222</v>
      </c>
      <c r="K33" s="304">
        <f t="shared" si="1"/>
        <v>9.0861443412208254E-2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kLwwMFVHFKtCoOXAEO1pHO88+UDo0wAYreSW3gu0b+rtboGEjWRLEX6cTExbNiY1H7T5UhadWEha9kkwvyqeA==" saltValue="30T41jJA8EqqKRqbnokBk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